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ingal Data\Ray\AADUMP\"/>
    </mc:Choice>
  </mc:AlternateContent>
  <workbookProtection workbookAlgorithmName="SHA-512" workbookHashValue="sPvaAdLp9bNQKzJoH0Fa6B7nZ1ncP6iV5mGZA5riAtVapswsW6jVXs3vq0yQerq3387cJ7uCxOdLOPmTor1E/A==" workbookSaltValue="DAacns12MANMc5LXCROkdw==" workbookSpinCount="100000" lockStructure="1"/>
  <bookViews>
    <workbookView xWindow="0" yWindow="0" windowWidth="19200" windowHeight="6470"/>
  </bookViews>
  <sheets>
    <sheet name="Detailed" sheetId="4" r:id="rId1"/>
    <sheet name="Quote Engine" sheetId="2" state="veryHidden" r:id="rId2"/>
    <sheet name="LIst" sheetId="3" state="veryHidden" r:id="rId3"/>
    <sheet name="Sheet1" sheetId="1" state="hidden" r:id="rId4"/>
  </sheets>
  <definedNames>
    <definedName name="_MailOriginal" localSheetId="0">Detailed!$C$71</definedName>
    <definedName name="_xlnm.Print_Area" localSheetId="0">Detailed!$B$1:$J$70</definedName>
  </definedNames>
  <calcPr calcId="162913"/>
</workbook>
</file>

<file path=xl/calcChain.xml><?xml version="1.0" encoding="utf-8"?>
<calcChain xmlns="http://schemas.openxmlformats.org/spreadsheetml/2006/main">
  <c r="B81" i="2" l="1"/>
  <c r="D115" i="2" s="1"/>
  <c r="F37" i="4" l="1"/>
  <c r="F36" i="4"/>
  <c r="B12" i="2"/>
  <c r="D94" i="2"/>
  <c r="B11" i="2"/>
  <c r="D92" i="2" s="1"/>
  <c r="K12" i="1"/>
  <c r="H131" i="2"/>
  <c r="H132" i="2" s="1"/>
  <c r="H126" i="2"/>
  <c r="H127" i="2" s="1"/>
  <c r="B105" i="2" s="1"/>
  <c r="B84" i="2"/>
  <c r="I84" i="2" s="1"/>
  <c r="D84" i="2" s="1"/>
  <c r="E54" i="4"/>
  <c r="B86" i="2"/>
  <c r="F25" i="4"/>
  <c r="F23" i="4"/>
  <c r="F33" i="4"/>
  <c r="F32" i="4"/>
  <c r="F27" i="4"/>
  <c r="F26" i="4"/>
  <c r="B38" i="2"/>
  <c r="D50" i="2" s="1"/>
  <c r="B33" i="2"/>
  <c r="B43" i="2" s="1"/>
  <c r="D43" i="2" s="1"/>
  <c r="B64" i="2"/>
  <c r="D75" i="2" s="1"/>
  <c r="B9" i="2"/>
  <c r="D90" i="2" s="1"/>
  <c r="B4" i="2"/>
  <c r="B17" i="2" s="1"/>
  <c r="D17" i="2" s="1"/>
  <c r="E6" i="1"/>
  <c r="F12" i="1"/>
  <c r="F11" i="1"/>
  <c r="F9" i="1"/>
  <c r="F6" i="1"/>
  <c r="F16" i="1"/>
  <c r="F17" i="1"/>
  <c r="F18" i="1"/>
  <c r="D28" i="2"/>
  <c r="D23" i="2" l="1"/>
  <c r="B23" i="2"/>
  <c r="D22" i="2"/>
  <c r="B24" i="2"/>
  <c r="B50" i="2"/>
  <c r="B13" i="2"/>
  <c r="D13" i="2" s="1"/>
  <c r="B45" i="2"/>
  <c r="D45" i="2" s="1"/>
  <c r="B83" i="2"/>
  <c r="B42" i="2"/>
  <c r="D42" i="2"/>
  <c r="B15" i="2"/>
  <c r="D15" i="2" s="1"/>
  <c r="D73" i="2"/>
  <c r="B82" i="2"/>
  <c r="B22" i="2"/>
  <c r="B75" i="2"/>
  <c r="B16" i="2"/>
  <c r="D16" i="2" s="1"/>
  <c r="D70" i="2"/>
  <c r="D74" i="2"/>
  <c r="B14" i="2"/>
  <c r="D14" i="2" s="1"/>
  <c r="D51" i="2"/>
  <c r="D72" i="2"/>
  <c r="B52" i="2"/>
  <c r="D89" i="2"/>
  <c r="B71" i="2"/>
  <c r="B51" i="2"/>
  <c r="B18" i="2"/>
  <c r="D18" i="2" s="1"/>
  <c r="B28" i="2"/>
  <c r="F28" i="2" s="1"/>
  <c r="D85" i="2"/>
  <c r="D52" i="2"/>
  <c r="B21" i="2"/>
  <c r="B44" i="2"/>
  <c r="D44" i="2" s="1"/>
  <c r="D24" i="2"/>
  <c r="B46" i="2"/>
  <c r="D46" i="2" s="1"/>
  <c r="D21" i="2"/>
  <c r="K79" i="2"/>
  <c r="B70" i="2"/>
  <c r="B72" i="2"/>
  <c r="B74" i="2"/>
  <c r="D71" i="2"/>
  <c r="B73" i="2"/>
  <c r="D55" i="2" l="1"/>
  <c r="C83" i="2" s="1"/>
  <c r="D83" i="2" s="1"/>
  <c r="D76" i="2"/>
  <c r="C82" i="2" s="1"/>
  <c r="C86" i="2" s="1"/>
  <c r="D86" i="2" s="1"/>
  <c r="D25" i="2"/>
  <c r="C81" i="2" s="1"/>
  <c r="D81" i="2" s="1"/>
  <c r="D91" i="2"/>
  <c r="D82" i="2" l="1"/>
  <c r="D87" i="2" s="1"/>
  <c r="D95" i="2" l="1"/>
  <c r="D96" i="2" s="1"/>
  <c r="D98" i="2" s="1"/>
  <c r="D101" i="2" l="1"/>
  <c r="D102" i="2" s="1"/>
  <c r="D103" i="2" s="1"/>
  <c r="D104" i="2" s="1"/>
  <c r="D105" i="2" s="1"/>
  <c r="D106" i="2" s="1"/>
  <c r="D107" i="2" s="1"/>
  <c r="D108" i="2" s="1"/>
  <c r="D116" i="2" s="1"/>
  <c r="D57" i="4" l="1"/>
  <c r="E57" i="4" s="1"/>
</calcChain>
</file>

<file path=xl/sharedStrings.xml><?xml version="1.0" encoding="utf-8"?>
<sst xmlns="http://schemas.openxmlformats.org/spreadsheetml/2006/main" count="138" uniqueCount="110">
  <si>
    <t>Plus Levy 5%</t>
  </si>
  <si>
    <t xml:space="preserve">Contractors All Risks Calculator </t>
  </si>
  <si>
    <t>Contract Works</t>
  </si>
  <si>
    <t>Equipment</t>
  </si>
  <si>
    <t>Turnover</t>
  </si>
  <si>
    <t>Hired In Plant</t>
  </si>
  <si>
    <t xml:space="preserve">Limit </t>
  </si>
  <si>
    <t xml:space="preserve">Velue </t>
  </si>
  <si>
    <t xml:space="preserve">Hire in Charges </t>
  </si>
  <si>
    <t xml:space="preserve">Contract Value </t>
  </si>
  <si>
    <t>Less</t>
  </si>
  <si>
    <t>Max Contract</t>
  </si>
  <si>
    <t>ADD</t>
  </si>
  <si>
    <t xml:space="preserve">Total Rate </t>
  </si>
  <si>
    <t xml:space="preserve">Contract Works </t>
  </si>
  <si>
    <t xml:space="preserve">Hired In Plant </t>
  </si>
  <si>
    <t>Hire Charges</t>
  </si>
  <si>
    <t xml:space="preserve">Limit of Liability </t>
  </si>
  <si>
    <t>Contractors Plant and Equipment</t>
  </si>
  <si>
    <t xml:space="preserve">Plant </t>
  </si>
  <si>
    <t>Total Rate</t>
  </si>
  <si>
    <t xml:space="preserve">Checked </t>
  </si>
  <si>
    <t xml:space="preserve">CONTRACTORS ALL RISKS </t>
  </si>
  <si>
    <t xml:space="preserve">  ENQUIRY FORM</t>
  </si>
  <si>
    <t>SUBMISSION FORM</t>
  </si>
  <si>
    <t xml:space="preserve">     Please type into this form </t>
  </si>
  <si>
    <t>Proposer</t>
  </si>
  <si>
    <t>Address</t>
  </si>
  <si>
    <t>Current Insurer (if any)</t>
  </si>
  <si>
    <t xml:space="preserve">Occupation </t>
  </si>
  <si>
    <t>How Long is the Proposer In Business?</t>
  </si>
  <si>
    <t>Years</t>
  </si>
  <si>
    <t xml:space="preserve">Target Premium </t>
  </si>
  <si>
    <t xml:space="preserve">Projections: ( can you provide an approximate  projection of turnover for the next 12 months: </t>
  </si>
  <si>
    <t xml:space="preserve">Maximum Contract Value </t>
  </si>
  <si>
    <t>Maximum Period one Contract</t>
  </si>
  <si>
    <t xml:space="preserve">Temporary Buildings </t>
  </si>
  <si>
    <t>Max value any one temp building</t>
  </si>
  <si>
    <t>Own Construction Plant and Equipment</t>
  </si>
  <si>
    <t>Max value any one item of equipment</t>
  </si>
  <si>
    <t>Plant hired In</t>
  </si>
  <si>
    <t>Estimated annual hire in charges</t>
  </si>
  <si>
    <t xml:space="preserve">Employees Personal Effects </t>
  </si>
  <si>
    <t>General Questions:</t>
  </si>
  <si>
    <t>Have you or anybody to be insured ever had terms imposed by an insurer or had insurance cancelled declined or refused?</t>
  </si>
  <si>
    <t xml:space="preserve">Have you or anybody to be insured been convicted of any criminal offence or have prosecutions pending? </t>
  </si>
  <si>
    <t>Have you or anybody to be insured ever been subject to bankruptcy proceedings?</t>
  </si>
  <si>
    <t>Are there any other relevant material facts to the insurance that you think we should be aware of ?</t>
  </si>
  <si>
    <t>Have you had any claims in the past five years ?</t>
  </si>
  <si>
    <t xml:space="preserve">Note: If you are not sure you should disclose it anyway. </t>
  </si>
  <si>
    <t>If any of the questions are answered in red please detail in the notes below:</t>
  </si>
  <si>
    <t xml:space="preserve">      Fingal Insurance Group DAC is regulated by The Central Bank of Ireland</t>
  </si>
  <si>
    <t xml:space="preserve">Derelict but stable </t>
  </si>
  <si>
    <t>Unstable</t>
  </si>
  <si>
    <t>Structurally secure &amp; watertight</t>
  </si>
  <si>
    <t>Habitable and structurally secure</t>
  </si>
  <si>
    <t>Other (Please advise in notes)</t>
  </si>
  <si>
    <t>Yes</t>
  </si>
  <si>
    <t>No</t>
  </si>
  <si>
    <t>New Build</t>
  </si>
  <si>
    <t>Refurbishing an existing property</t>
  </si>
  <si>
    <t>Refurb property &amp; extension</t>
  </si>
  <si>
    <t xml:space="preserve">Other </t>
  </si>
  <si>
    <t xml:space="preserve">Detached </t>
  </si>
  <si>
    <t>Semi detached</t>
  </si>
  <si>
    <t>Terraced</t>
  </si>
  <si>
    <t>Other</t>
  </si>
  <si>
    <t>Calculator</t>
  </si>
  <si>
    <t>Rate</t>
  </si>
  <si>
    <t xml:space="preserve">Premium </t>
  </si>
  <si>
    <t xml:space="preserve">Contractors Plant and Equipment </t>
  </si>
  <si>
    <t>Premium Before Levy</t>
  </si>
  <si>
    <t>Plus 5% Government Levy</t>
  </si>
  <si>
    <t xml:space="preserve">Total Premium </t>
  </si>
  <si>
    <t>Months</t>
  </si>
  <si>
    <t>Excess</t>
  </si>
  <si>
    <t xml:space="preserve">Material Damage Excess </t>
  </si>
  <si>
    <t xml:space="preserve">Theft and Malicious Damage  Excess </t>
  </si>
  <si>
    <t>each and every claim</t>
  </si>
  <si>
    <t>each and every claim for exposures up to and including €50,000.00</t>
  </si>
  <si>
    <t>Discount</t>
  </si>
  <si>
    <t>Limit of  €2500.00 per employee</t>
  </si>
  <si>
    <t xml:space="preserve">Employees Tools </t>
  </si>
  <si>
    <t>Min Premium €100.00</t>
  </si>
  <si>
    <t xml:space="preserve">Tools </t>
  </si>
  <si>
    <t xml:space="preserve">Discounted Premium </t>
  </si>
  <si>
    <t xml:space="preserve">Site huts </t>
  </si>
  <si>
    <t>Fingal Fee</t>
  </si>
  <si>
    <t xml:space="preserve">Final Premium </t>
  </si>
  <si>
    <t xml:space="preserve">Select Excess Option </t>
  </si>
  <si>
    <t>Indication of Premium</t>
  </si>
  <si>
    <t>(deletes min premium if Tools 0)</t>
  </si>
  <si>
    <t xml:space="preserve">Min Premium </t>
  </si>
  <si>
    <t>Add Fiducia Fee</t>
  </si>
  <si>
    <t>Less Higher Excess Discount</t>
  </si>
  <si>
    <t>Vlook UP For Excess</t>
  </si>
  <si>
    <t xml:space="preserve">Discount Rate </t>
  </si>
  <si>
    <t>Under Const</t>
  </si>
  <si>
    <t>IF For Limit</t>
  </si>
  <si>
    <t>$2</t>
  </si>
  <si>
    <t>(not allowing disc for Min Premium)</t>
  </si>
  <si>
    <r>
      <t xml:space="preserve">This premium is a non binding indication . For a full contract certain quote please email this form fully completed  to </t>
    </r>
    <r>
      <rPr>
        <b/>
        <sz val="12"/>
        <color indexed="30"/>
        <rFont val="Arial"/>
        <family val="2"/>
      </rPr>
      <t>ray@fingalins.ie.</t>
    </r>
  </si>
  <si>
    <t>*</t>
  </si>
  <si>
    <t xml:space="preserve">for exposures in excess of €50,000.00 </t>
  </si>
  <si>
    <t>increasing to €5,000.00 and  €12,000.00 for €2500 and  €5,000.00 excess option</t>
  </si>
  <si>
    <t>respectively.</t>
  </si>
  <si>
    <t>What is the maximum maintenance period?</t>
  </si>
  <si>
    <t>Notes:</t>
  </si>
  <si>
    <t>25012024 A</t>
  </si>
  <si>
    <t xml:space="preserve">Inception/Renewal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</si>
</sst>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€&quot;#,##0;[Red]\-&quot;€&quot;#,##0"/>
    <numFmt numFmtId="165" formatCode="&quot;€&quot;#,##0.00"/>
    <numFmt numFmtId="166" formatCode="0.0000%"/>
    <numFmt numFmtId="167" formatCode="[$€-2]\ #,##0.00"/>
    <numFmt numFmtId="168" formatCode="[$€-2]\ #,##0;[Red]\-[$€-2]\ #,##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i/>
      <sz val="20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i/>
      <sz val="11.5"/>
      <name val="Arial"/>
      <family val="2"/>
    </font>
    <font>
      <b/>
      <i/>
      <u/>
      <sz val="11.5"/>
      <name val="Arial"/>
      <family val="2"/>
    </font>
    <font>
      <b/>
      <i/>
      <u/>
      <sz val="12"/>
      <name val="Arial"/>
      <family val="2"/>
    </font>
    <font>
      <b/>
      <i/>
      <u/>
      <sz val="14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3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14"/>
      <color theme="5"/>
      <name val="Arial"/>
      <family val="2"/>
    </font>
    <font>
      <sz val="14"/>
      <color rgb="FFFF0000"/>
      <name val="Arial"/>
      <family val="2"/>
    </font>
    <font>
      <sz val="11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theme="4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i/>
      <sz val="22"/>
      <color theme="5" tint="-0.249977111117893"/>
      <name val="Arial"/>
      <family val="2"/>
    </font>
    <font>
      <sz val="22"/>
      <color theme="5" tint="-0.249977111117893"/>
      <name val="Arial"/>
      <family val="2"/>
    </font>
    <font>
      <b/>
      <sz val="14"/>
      <color theme="1"/>
      <name val="Arial"/>
      <family val="2"/>
    </font>
    <font>
      <sz val="8"/>
      <color rgb="FF000000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1F497D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10" fontId="0" fillId="0" borderId="0" xfId="0" applyNumberFormat="1"/>
    <xf numFmtId="0" fontId="0" fillId="3" borderId="0" xfId="0" applyFill="1"/>
    <xf numFmtId="0" fontId="17" fillId="0" borderId="0" xfId="0" applyFont="1"/>
    <xf numFmtId="165" fontId="0" fillId="0" borderId="0" xfId="0" applyNumberFormat="1"/>
    <xf numFmtId="165" fontId="0" fillId="0" borderId="1" xfId="0" applyNumberFormat="1" applyBorder="1"/>
    <xf numFmtId="165" fontId="0" fillId="4" borderId="1" xfId="0" applyNumberFormat="1" applyFill="1" applyBorder="1"/>
    <xf numFmtId="165" fontId="18" fillId="0" borderId="0" xfId="0" applyNumberFormat="1" applyFont="1"/>
    <xf numFmtId="165" fontId="17" fillId="3" borderId="0" xfId="0" applyNumberFormat="1" applyFont="1" applyFill="1"/>
    <xf numFmtId="165" fontId="0" fillId="3" borderId="0" xfId="0" applyNumberFormat="1" applyFill="1"/>
    <xf numFmtId="166" fontId="0" fillId="0" borderId="0" xfId="0" applyNumberFormat="1"/>
    <xf numFmtId="0" fontId="0" fillId="0" borderId="0" xfId="0" applyAlignment="1">
      <alignment wrapText="1"/>
    </xf>
    <xf numFmtId="0" fontId="0" fillId="5" borderId="0" xfId="0" applyFill="1"/>
    <xf numFmtId="167" fontId="0" fillId="6" borderId="0" xfId="0" applyNumberFormat="1" applyFill="1"/>
    <xf numFmtId="167" fontId="0" fillId="5" borderId="0" xfId="0" applyNumberFormat="1" applyFill="1"/>
    <xf numFmtId="0" fontId="0" fillId="0" borderId="0" xfId="0" applyAlignment="1">
      <alignment horizontal="right"/>
    </xf>
    <xf numFmtId="0" fontId="17" fillId="7" borderId="0" xfId="0" applyFont="1" applyFill="1"/>
    <xf numFmtId="0" fontId="2" fillId="0" borderId="0" xfId="1" applyFont="1"/>
    <xf numFmtId="0" fontId="2" fillId="2" borderId="0" xfId="1" applyFont="1" applyFill="1"/>
    <xf numFmtId="0" fontId="19" fillId="2" borderId="0" xfId="1" applyFont="1" applyFill="1" applyAlignment="1">
      <alignment wrapText="1"/>
    </xf>
    <xf numFmtId="0" fontId="19" fillId="2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0" fontId="21" fillId="2" borderId="0" xfId="1" applyFont="1" applyFill="1"/>
    <xf numFmtId="0" fontId="5" fillId="2" borderId="0" xfId="1" applyFont="1" applyFill="1"/>
    <xf numFmtId="0" fontId="6" fillId="2" borderId="0" xfId="1" applyFont="1" applyFill="1"/>
    <xf numFmtId="0" fontId="2" fillId="2" borderId="0" xfId="1" applyFont="1" applyFill="1" applyBorder="1"/>
    <xf numFmtId="14" fontId="2" fillId="5" borderId="2" xfId="1" applyNumberFormat="1" applyFont="1" applyFill="1" applyBorder="1"/>
    <xf numFmtId="0" fontId="2" fillId="5" borderId="0" xfId="1" applyFont="1" applyFill="1" applyBorder="1"/>
    <xf numFmtId="0" fontId="6" fillId="5" borderId="0" xfId="1" applyFont="1" applyFill="1"/>
    <xf numFmtId="14" fontId="2" fillId="5" borderId="0" xfId="1" applyNumberFormat="1" applyFont="1" applyFill="1" applyBorder="1"/>
    <xf numFmtId="0" fontId="2" fillId="2" borderId="0" xfId="1" applyFont="1" applyFill="1" applyBorder="1" applyAlignment="1">
      <alignment vertical="top" wrapText="1"/>
    </xf>
    <xf numFmtId="0" fontId="7" fillId="2" borderId="0" xfId="1" applyFont="1" applyFill="1"/>
    <xf numFmtId="0" fontId="8" fillId="2" borderId="0" xfId="1" applyFont="1" applyFill="1"/>
    <xf numFmtId="0" fontId="9" fillId="2" borderId="0" xfId="1" applyFont="1" applyFill="1"/>
    <xf numFmtId="0" fontId="10" fillId="2" borderId="0" xfId="1" applyFont="1" applyFill="1"/>
    <xf numFmtId="14" fontId="2" fillId="5" borderId="4" xfId="1" applyNumberFormat="1" applyFont="1" applyFill="1" applyBorder="1"/>
    <xf numFmtId="0" fontId="1" fillId="0" borderId="0" xfId="1" applyFont="1"/>
    <xf numFmtId="0" fontId="1" fillId="5" borderId="0" xfId="1" applyFont="1" applyFill="1" applyBorder="1"/>
    <xf numFmtId="0" fontId="1" fillId="0" borderId="0" xfId="1"/>
    <xf numFmtId="0" fontId="17" fillId="0" borderId="0" xfId="1" applyFont="1"/>
    <xf numFmtId="0" fontId="22" fillId="2" borderId="0" xfId="1" applyFont="1" applyFill="1"/>
    <xf numFmtId="0" fontId="1" fillId="0" borderId="1" xfId="1" applyBorder="1"/>
    <xf numFmtId="0" fontId="1" fillId="0" borderId="5" xfId="1" applyBorder="1"/>
    <xf numFmtId="0" fontId="1" fillId="0" borderId="0" xfId="1" applyBorder="1"/>
    <xf numFmtId="0" fontId="23" fillId="0" borderId="1" xfId="1" applyFont="1" applyBorder="1" applyAlignment="1">
      <alignment horizontal="left" indent="6"/>
    </xf>
    <xf numFmtId="0" fontId="1" fillId="0" borderId="7" xfId="1" applyBorder="1"/>
    <xf numFmtId="167" fontId="0" fillId="9" borderId="0" xfId="0" applyNumberFormat="1" applyFill="1"/>
    <xf numFmtId="0" fontId="17" fillId="9" borderId="0" xfId="0" applyFont="1" applyFill="1"/>
    <xf numFmtId="167" fontId="0" fillId="0" borderId="0" xfId="0" applyNumberFormat="1"/>
    <xf numFmtId="167" fontId="0" fillId="5" borderId="8" xfId="0" applyNumberFormat="1" applyFill="1" applyBorder="1"/>
    <xf numFmtId="167" fontId="17" fillId="10" borderId="3" xfId="0" applyNumberFormat="1" applyFont="1" applyFill="1" applyBorder="1"/>
    <xf numFmtId="0" fontId="0" fillId="0" borderId="1" xfId="0" applyBorder="1"/>
    <xf numFmtId="0" fontId="0" fillId="0" borderId="5" xfId="0" applyBorder="1"/>
    <xf numFmtId="0" fontId="17" fillId="0" borderId="7" xfId="0" applyFont="1" applyBorder="1"/>
    <xf numFmtId="0" fontId="0" fillId="0" borderId="0" xfId="0" applyBorder="1"/>
    <xf numFmtId="0" fontId="0" fillId="0" borderId="6" xfId="0" applyBorder="1"/>
    <xf numFmtId="0" fontId="17" fillId="0" borderId="0" xfId="0" applyFont="1" applyBorder="1"/>
    <xf numFmtId="0" fontId="0" fillId="0" borderId="7" xfId="0" applyBorder="1"/>
    <xf numFmtId="167" fontId="0" fillId="9" borderId="0" xfId="0" applyNumberFormat="1" applyFill="1" applyBorder="1"/>
    <xf numFmtId="167" fontId="0" fillId="5" borderId="0" xfId="0" applyNumberFormat="1" applyFill="1" applyBorder="1"/>
    <xf numFmtId="0" fontId="0" fillId="0" borderId="9" xfId="0" applyBorder="1"/>
    <xf numFmtId="0" fontId="0" fillId="0" borderId="10" xfId="0" applyBorder="1"/>
    <xf numFmtId="0" fontId="17" fillId="11" borderId="7" xfId="0" applyFont="1" applyFill="1" applyBorder="1"/>
    <xf numFmtId="0" fontId="2" fillId="9" borderId="4" xfId="1" applyFont="1" applyFill="1" applyBorder="1"/>
    <xf numFmtId="0" fontId="4" fillId="9" borderId="4" xfId="1" applyFont="1" applyFill="1" applyBorder="1"/>
    <xf numFmtId="0" fontId="2" fillId="9" borderId="11" xfId="1" applyFont="1" applyFill="1" applyBorder="1"/>
    <xf numFmtId="14" fontId="19" fillId="5" borderId="0" xfId="1" applyNumberFormat="1" applyFont="1" applyFill="1" applyBorder="1"/>
    <xf numFmtId="0" fontId="11" fillId="0" borderId="0" xfId="1" applyFont="1"/>
    <xf numFmtId="0" fontId="11" fillId="0" borderId="12" xfId="1" applyFont="1" applyBorder="1"/>
    <xf numFmtId="0" fontId="11" fillId="0" borderId="1" xfId="1" applyFont="1" applyBorder="1"/>
    <xf numFmtId="0" fontId="24" fillId="0" borderId="0" xfId="1" applyFont="1" applyBorder="1"/>
    <xf numFmtId="0" fontId="25" fillId="0" borderId="0" xfId="1" applyFont="1" applyBorder="1"/>
    <xf numFmtId="0" fontId="11" fillId="0" borderId="0" xfId="1" applyFont="1" applyBorder="1"/>
    <xf numFmtId="0" fontId="12" fillId="0" borderId="0" xfId="1" applyFont="1"/>
    <xf numFmtId="0" fontId="11" fillId="0" borderId="5" xfId="1" applyFont="1" applyBorder="1"/>
    <xf numFmtId="0" fontId="11" fillId="0" borderId="6" xfId="1" applyFont="1" applyBorder="1"/>
    <xf numFmtId="14" fontId="11" fillId="5" borderId="0" xfId="1" applyNumberFormat="1" applyFont="1" applyFill="1" applyBorder="1"/>
    <xf numFmtId="0" fontId="25" fillId="0" borderId="0" xfId="1" applyFont="1"/>
    <xf numFmtId="0" fontId="0" fillId="0" borderId="0" xfId="0" applyFill="1" applyBorder="1"/>
    <xf numFmtId="167" fontId="0" fillId="0" borderId="0" xfId="0" applyNumberFormat="1" applyBorder="1"/>
    <xf numFmtId="167" fontId="0" fillId="5" borderId="13" xfId="0" applyNumberFormat="1" applyFill="1" applyBorder="1"/>
    <xf numFmtId="9" fontId="0" fillId="6" borderId="0" xfId="0" applyNumberFormat="1" applyFill="1" applyBorder="1"/>
    <xf numFmtId="0" fontId="26" fillId="2" borderId="0" xfId="1" applyFont="1" applyFill="1"/>
    <xf numFmtId="165" fontId="13" fillId="9" borderId="3" xfId="1" applyNumberFormat="1" applyFont="1" applyFill="1" applyBorder="1"/>
    <xf numFmtId="0" fontId="14" fillId="0" borderId="0" xfId="1" applyFont="1"/>
    <xf numFmtId="0" fontId="16" fillId="9" borderId="14" xfId="1" applyFont="1" applyFill="1" applyBorder="1" applyAlignment="1">
      <alignment horizontal="left"/>
    </xf>
    <xf numFmtId="167" fontId="0" fillId="7" borderId="0" xfId="0" applyNumberFormat="1" applyFill="1" applyBorder="1"/>
    <xf numFmtId="0" fontId="28" fillId="0" borderId="0" xfId="0" applyFont="1" applyBorder="1"/>
    <xf numFmtId="167" fontId="0" fillId="12" borderId="0" xfId="0" applyNumberFormat="1" applyFill="1" applyBorder="1"/>
    <xf numFmtId="168" fontId="0" fillId="0" borderId="6" xfId="0" applyNumberFormat="1" applyBorder="1"/>
    <xf numFmtId="167" fontId="17" fillId="10" borderId="0" xfId="0" applyNumberFormat="1" applyFont="1" applyFill="1" applyBorder="1"/>
    <xf numFmtId="167" fontId="0" fillId="13" borderId="0" xfId="0" applyNumberForma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4" xfId="0" applyBorder="1"/>
    <xf numFmtId="0" fontId="0" fillId="0" borderId="4" xfId="0" applyBorder="1"/>
    <xf numFmtId="0" fontId="0" fillId="0" borderId="11" xfId="0" applyBorder="1"/>
    <xf numFmtId="0" fontId="17" fillId="0" borderId="18" xfId="0" applyFont="1" applyBorder="1"/>
    <xf numFmtId="0" fontId="0" fillId="13" borderId="19" xfId="0" applyFill="1" applyBorder="1"/>
    <xf numFmtId="1" fontId="0" fillId="9" borderId="0" xfId="0" applyNumberFormat="1" applyFill="1" applyBorder="1"/>
    <xf numFmtId="167" fontId="29" fillId="6" borderId="0" xfId="0" applyNumberFormat="1" applyFont="1" applyFill="1" applyBorder="1"/>
    <xf numFmtId="0" fontId="0" fillId="0" borderId="9" xfId="0" applyBorder="1"/>
    <xf numFmtId="168" fontId="17" fillId="0" borderId="6" xfId="0" applyNumberFormat="1" applyFont="1" applyBorder="1"/>
    <xf numFmtId="0" fontId="0" fillId="13" borderId="0" xfId="0" applyFill="1"/>
    <xf numFmtId="0" fontId="30" fillId="0" borderId="0" xfId="0" applyFont="1" applyBorder="1"/>
    <xf numFmtId="168" fontId="0" fillId="0" borderId="0" xfId="0" applyNumberFormat="1"/>
    <xf numFmtId="14" fontId="11" fillId="9" borderId="3" xfId="1" applyNumberFormat="1" applyFont="1" applyFill="1" applyBorder="1"/>
    <xf numFmtId="0" fontId="11" fillId="9" borderId="3" xfId="1" applyNumberFormat="1" applyFont="1" applyFill="1" applyBorder="1"/>
    <xf numFmtId="164" fontId="11" fillId="8" borderId="3" xfId="1" quotePrefix="1" applyNumberFormat="1" applyFont="1" applyFill="1" applyBorder="1"/>
    <xf numFmtId="165" fontId="11" fillId="9" borderId="3" xfId="1" applyNumberFormat="1" applyFont="1" applyFill="1" applyBorder="1"/>
    <xf numFmtId="3" fontId="11" fillId="9" borderId="3" xfId="1" applyNumberFormat="1" applyFont="1" applyFill="1" applyBorder="1"/>
    <xf numFmtId="167" fontId="36" fillId="5" borderId="0" xfId="0" applyNumberFormat="1" applyFont="1" applyFill="1"/>
    <xf numFmtId="0" fontId="11" fillId="2" borderId="0" xfId="1" applyFont="1" applyFill="1"/>
    <xf numFmtId="14" fontId="26" fillId="5" borderId="0" xfId="1" applyNumberFormat="1" applyFont="1" applyFill="1" applyBorder="1"/>
    <xf numFmtId="0" fontId="14" fillId="0" borderId="0" xfId="1" applyFont="1" applyBorder="1"/>
    <xf numFmtId="167" fontId="27" fillId="6" borderId="0" xfId="0" applyNumberFormat="1" applyFont="1" applyFill="1" applyBorder="1"/>
    <xf numFmtId="0" fontId="14" fillId="0" borderId="22" xfId="1" applyFont="1" applyBorder="1"/>
    <xf numFmtId="0" fontId="11" fillId="0" borderId="23" xfId="1" applyFont="1" applyBorder="1"/>
    <xf numFmtId="0" fontId="11" fillId="0" borderId="24" xfId="1" applyFont="1" applyBorder="1"/>
    <xf numFmtId="0" fontId="1" fillId="0" borderId="10" xfId="1" applyBorder="1"/>
    <xf numFmtId="0" fontId="1" fillId="0" borderId="22" xfId="1" applyBorder="1"/>
    <xf numFmtId="0" fontId="1" fillId="0" borderId="23" xfId="1" applyBorder="1"/>
    <xf numFmtId="0" fontId="6" fillId="2" borderId="23" xfId="1" applyFont="1" applyFill="1" applyBorder="1" applyAlignment="1">
      <alignment vertical="center"/>
    </xf>
    <xf numFmtId="0" fontId="2" fillId="2" borderId="23" xfId="1" applyFont="1" applyFill="1" applyBorder="1"/>
    <xf numFmtId="0" fontId="1" fillId="0" borderId="24" xfId="1" applyBorder="1"/>
    <xf numFmtId="3" fontId="37" fillId="0" borderId="0" xfId="0" applyNumberFormat="1" applyFont="1"/>
    <xf numFmtId="0" fontId="11" fillId="9" borderId="20" xfId="1" applyFont="1" applyFill="1" applyBorder="1" applyAlignment="1"/>
    <xf numFmtId="0" fontId="35" fillId="0" borderId="2" xfId="0" applyFont="1" applyBorder="1" applyAlignment="1"/>
    <xf numFmtId="0" fontId="35" fillId="0" borderId="21" xfId="0" applyFont="1" applyBorder="1" applyAlignment="1"/>
    <xf numFmtId="0" fontId="3" fillId="9" borderId="15" xfId="1" applyFont="1" applyFill="1" applyBorder="1" applyAlignment="1">
      <alignment horizontal="center"/>
    </xf>
    <xf numFmtId="0" fontId="1" fillId="9" borderId="16" xfId="1" applyFill="1" applyBorder="1" applyAlignment="1">
      <alignment horizontal="center"/>
    </xf>
    <xf numFmtId="0" fontId="1" fillId="9" borderId="17" xfId="1" applyFill="1" applyBorder="1" applyAlignment="1">
      <alignment horizontal="center"/>
    </xf>
    <xf numFmtId="0" fontId="31" fillId="9" borderId="18" xfId="1" applyFont="1" applyFill="1" applyBorder="1" applyAlignment="1">
      <alignment horizontal="center"/>
    </xf>
    <xf numFmtId="0" fontId="32" fillId="9" borderId="0" xfId="1" applyFont="1" applyFill="1" applyAlignment="1">
      <alignment horizontal="center"/>
    </xf>
    <xf numFmtId="0" fontId="32" fillId="9" borderId="19" xfId="1" applyFont="1" applyFill="1" applyBorder="1" applyAlignment="1">
      <alignment horizontal="center"/>
    </xf>
    <xf numFmtId="0" fontId="32" fillId="9" borderId="18" xfId="1" applyFont="1" applyFill="1" applyBorder="1" applyAlignment="1">
      <alignment horizontal="center"/>
    </xf>
    <xf numFmtId="0" fontId="33" fillId="2" borderId="0" xfId="1" applyFont="1" applyFill="1" applyAlignment="1">
      <alignment horizontal="center"/>
    </xf>
    <xf numFmtId="0" fontId="20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1207827</xdr:colOff>
      <xdr:row>0</xdr:row>
      <xdr:rowOff>54591</xdr:rowOff>
    </xdr:from>
    <xdr:to>
      <xdr:col>3</xdr:col>
      <xdr:colOff>614149</xdr:colOff>
      <xdr:row>3</xdr:row>
      <xdr:rowOff>177421</xdr:rowOff>
    </xdr:to>
    <xdr:pic>
      <xdr:nvPicPr>
        <xdr:cNvPr id="1262" name="Picture 7" descr="fingal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827" y="54591"/>
          <a:ext cx="3091218" cy="887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260350</xdr:colOff>
          <xdr:row>40</xdr:row>
          <xdr:rowOff>209550</xdr:rowOff>
        </xdr:from>
        <xdr:to>
          <xdr:col>8</xdr:col>
          <xdr:colOff>800100</xdr:colOff>
          <xdr:row>41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41</xdr:row>
          <xdr:rowOff>0</xdr:rowOff>
        </xdr:from>
        <xdr:to>
          <xdr:col>9</xdr:col>
          <xdr:colOff>755650</xdr:colOff>
          <xdr:row>41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260350</xdr:colOff>
          <xdr:row>41</xdr:row>
          <xdr:rowOff>209550</xdr:rowOff>
        </xdr:from>
        <xdr:to>
          <xdr:col>8</xdr:col>
          <xdr:colOff>800100</xdr:colOff>
          <xdr:row>42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42</xdr:row>
          <xdr:rowOff>0</xdr:rowOff>
        </xdr:from>
        <xdr:to>
          <xdr:col>9</xdr:col>
          <xdr:colOff>755650</xdr:colOff>
          <xdr:row>42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260350</xdr:colOff>
          <xdr:row>42</xdr:row>
          <xdr:rowOff>0</xdr:rowOff>
        </xdr:from>
        <xdr:to>
          <xdr:col>8</xdr:col>
          <xdr:colOff>800100</xdr:colOff>
          <xdr:row>42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42</xdr:row>
          <xdr:rowOff>0</xdr:rowOff>
        </xdr:from>
        <xdr:to>
          <xdr:col>9</xdr:col>
          <xdr:colOff>755650</xdr:colOff>
          <xdr:row>42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260350</xdr:colOff>
          <xdr:row>42</xdr:row>
          <xdr:rowOff>0</xdr:rowOff>
        </xdr:from>
        <xdr:to>
          <xdr:col>8</xdr:col>
          <xdr:colOff>800100</xdr:colOff>
          <xdr:row>42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42</xdr:row>
          <xdr:rowOff>0</xdr:rowOff>
        </xdr:from>
        <xdr:to>
          <xdr:col>9</xdr:col>
          <xdr:colOff>755650</xdr:colOff>
          <xdr:row>42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260350</xdr:colOff>
          <xdr:row>42</xdr:row>
          <xdr:rowOff>209550</xdr:rowOff>
        </xdr:from>
        <xdr:to>
          <xdr:col>8</xdr:col>
          <xdr:colOff>800100</xdr:colOff>
          <xdr:row>43</xdr:row>
          <xdr:rowOff>184150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43</xdr:row>
          <xdr:rowOff>0</xdr:rowOff>
        </xdr:from>
        <xdr:to>
          <xdr:col>9</xdr:col>
          <xdr:colOff>755650</xdr:colOff>
          <xdr:row>43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260350</xdr:colOff>
          <xdr:row>43</xdr:row>
          <xdr:rowOff>209550</xdr:rowOff>
        </xdr:from>
        <xdr:to>
          <xdr:col>8</xdr:col>
          <xdr:colOff>800100</xdr:colOff>
          <xdr:row>44</xdr:row>
          <xdr:rowOff>184150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44</xdr:row>
          <xdr:rowOff>0</xdr:rowOff>
        </xdr:from>
        <xdr:to>
          <xdr:col>9</xdr:col>
          <xdr:colOff>755650</xdr:colOff>
          <xdr:row>44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260350</xdr:colOff>
          <xdr:row>44</xdr:row>
          <xdr:rowOff>0</xdr:rowOff>
        </xdr:from>
        <xdr:to>
          <xdr:col>8</xdr:col>
          <xdr:colOff>800100</xdr:colOff>
          <xdr:row>44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44</xdr:row>
          <xdr:rowOff>0</xdr:rowOff>
        </xdr:from>
        <xdr:to>
          <xdr:col>9</xdr:col>
          <xdr:colOff>755650</xdr:colOff>
          <xdr:row>44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260350</xdr:colOff>
          <xdr:row>44</xdr:row>
          <xdr:rowOff>209550</xdr:rowOff>
        </xdr:from>
        <xdr:to>
          <xdr:col>8</xdr:col>
          <xdr:colOff>800100</xdr:colOff>
          <xdr:row>45</xdr:row>
          <xdr:rowOff>184150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45</xdr:row>
          <xdr:rowOff>0</xdr:rowOff>
        </xdr:from>
        <xdr:to>
          <xdr:col>9</xdr:col>
          <xdr:colOff>755650</xdr:colOff>
          <xdr:row>45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260350</xdr:colOff>
          <xdr:row>45</xdr:row>
          <xdr:rowOff>0</xdr:rowOff>
        </xdr:from>
        <xdr:to>
          <xdr:col>8</xdr:col>
          <xdr:colOff>800100</xdr:colOff>
          <xdr:row>45</xdr:row>
          <xdr:rowOff>190500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45</xdr:row>
          <xdr:rowOff>0</xdr:rowOff>
        </xdr:from>
        <xdr:to>
          <xdr:col>9</xdr:col>
          <xdr:colOff>755650</xdr:colOff>
          <xdr:row>45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108"/>
  <sheetViews>
    <sheetView tabSelected="1" topLeftCell="B1" zoomScale="84" zoomScaleNormal="84" zoomScaleSheetLayoutView="84" workbookViewId="0">
      <selection activeCell="E4" sqref="E4"/>
    </sheetView>
  </sheetViews>
  <sheetFormatPr defaultColWidth="10" defaultRowHeight="14.5" x14ac:dyDescent="0.35"/>
  <cols>
    <col min="1" max="1" width="3.1796875" hidden="1" customWidth="1"/>
    <col min="2" max="2" width="20.26953125" customWidth="1"/>
    <col min="3" max="3" width="33.7265625" customWidth="1"/>
    <col min="4" max="4" width="25.36328125" customWidth="1"/>
    <col min="5" max="5" width="26" customWidth="1"/>
    <col min="6" max="6" width="17.7265625" customWidth="1"/>
    <col min="7" max="7" width="16.90625" customWidth="1"/>
    <col min="8" max="8" width="17" bestFit="1" customWidth="1"/>
    <col min="9" max="9" width="15.90625" customWidth="1"/>
    <col min="10" max="10" width="12.08984375" customWidth="1"/>
    <col min="11" max="11" width="13.81640625" customWidth="1"/>
    <col min="13" max="13" width="8.984375E-2" customWidth="1"/>
  </cols>
  <sheetData>
    <row r="1" spans="1:11" ht="17.5" x14ac:dyDescent="0.35">
      <c r="B1" s="17"/>
      <c r="C1" s="18"/>
      <c r="D1" s="18"/>
      <c r="E1" s="18"/>
      <c r="F1" s="18"/>
      <c r="G1" s="18"/>
      <c r="H1" s="18"/>
      <c r="I1" s="18"/>
      <c r="J1" s="18"/>
    </row>
    <row r="2" spans="1:11" ht="25" x14ac:dyDescent="0.5">
      <c r="B2" s="18"/>
      <c r="C2" s="18"/>
      <c r="D2" s="18"/>
      <c r="E2" s="18"/>
      <c r="F2" s="132" t="s">
        <v>22</v>
      </c>
      <c r="G2" s="133"/>
      <c r="H2" s="133"/>
      <c r="I2" s="133"/>
      <c r="J2" s="134"/>
    </row>
    <row r="3" spans="1:11" ht="18" x14ac:dyDescent="0.4">
      <c r="B3" s="18"/>
      <c r="C3" s="18"/>
      <c r="D3" s="19"/>
      <c r="E3" s="18"/>
      <c r="F3" s="135" t="s">
        <v>23</v>
      </c>
      <c r="G3" s="136"/>
      <c r="H3" s="136"/>
      <c r="I3" s="136"/>
      <c r="J3" s="137"/>
    </row>
    <row r="4" spans="1:11" ht="17.5" x14ac:dyDescent="0.35">
      <c r="B4" s="18"/>
      <c r="C4" s="18"/>
      <c r="D4" s="18"/>
      <c r="E4" s="18"/>
      <c r="F4" s="138"/>
      <c r="G4" s="136"/>
      <c r="H4" s="136"/>
      <c r="I4" s="136"/>
      <c r="J4" s="137"/>
    </row>
    <row r="5" spans="1:11" ht="18" x14ac:dyDescent="0.4">
      <c r="B5" s="139" t="s">
        <v>24</v>
      </c>
      <c r="C5" s="140"/>
      <c r="D5" s="140"/>
      <c r="E5" s="18"/>
      <c r="F5" s="85" t="s">
        <v>108</v>
      </c>
      <c r="G5" s="63"/>
      <c r="H5" s="64"/>
      <c r="I5" s="63"/>
      <c r="J5" s="65"/>
    </row>
    <row r="6" spans="1:11" ht="18" x14ac:dyDescent="0.4">
      <c r="B6" s="18"/>
      <c r="C6" s="20" t="s">
        <v>25</v>
      </c>
      <c r="D6" s="21"/>
      <c r="E6" s="18"/>
      <c r="F6" s="18"/>
      <c r="G6" s="18"/>
      <c r="H6" s="18"/>
      <c r="I6" s="18"/>
      <c r="J6" s="18"/>
    </row>
    <row r="7" spans="1:11" s="18" customFormat="1" ht="18" x14ac:dyDescent="0.4">
      <c r="A7"/>
      <c r="C7" s="22"/>
      <c r="K7"/>
    </row>
    <row r="8" spans="1:11" s="18" customFormat="1" ht="17.75" customHeight="1" x14ac:dyDescent="0.35">
      <c r="A8"/>
      <c r="B8" s="23" t="s">
        <v>26</v>
      </c>
      <c r="C8" s="23"/>
      <c r="D8" s="129"/>
      <c r="E8" s="130"/>
      <c r="F8" s="130"/>
      <c r="G8" s="130"/>
      <c r="H8" s="130"/>
      <c r="I8" s="130"/>
      <c r="J8" s="131"/>
      <c r="K8"/>
    </row>
    <row r="9" spans="1:11" s="18" customFormat="1" ht="17.75" customHeight="1" x14ac:dyDescent="0.35">
      <c r="A9"/>
      <c r="B9" s="23"/>
      <c r="C9" s="23"/>
      <c r="K9"/>
    </row>
    <row r="10" spans="1:11" s="18" customFormat="1" ht="17.75" customHeight="1" x14ac:dyDescent="0.35">
      <c r="A10"/>
      <c r="B10" s="23" t="s">
        <v>27</v>
      </c>
      <c r="C10" s="23"/>
      <c r="D10" s="129"/>
      <c r="E10" s="130"/>
      <c r="F10" s="130"/>
      <c r="G10" s="130"/>
      <c r="H10" s="130"/>
      <c r="I10" s="130"/>
      <c r="J10" s="131"/>
      <c r="K10"/>
    </row>
    <row r="11" spans="1:11" s="18" customFormat="1" ht="17.75" customHeight="1" x14ac:dyDescent="0.35">
      <c r="A11"/>
      <c r="B11" s="23"/>
      <c r="C11" s="23"/>
      <c r="K11"/>
    </row>
    <row r="12" spans="1:11" s="18" customFormat="1" ht="17.75" customHeight="1" x14ac:dyDescent="0.35">
      <c r="A12"/>
      <c r="B12" s="23" t="s">
        <v>28</v>
      </c>
      <c r="C12" s="24"/>
      <c r="D12" s="109"/>
      <c r="E12" s="25"/>
      <c r="F12" s="25"/>
      <c r="K12"/>
    </row>
    <row r="13" spans="1:11" s="18" customFormat="1" ht="17.75" customHeight="1" x14ac:dyDescent="0.35">
      <c r="A13"/>
      <c r="B13" s="23"/>
      <c r="C13" s="24"/>
      <c r="D13" s="26"/>
      <c r="E13" s="25"/>
      <c r="F13" s="25"/>
      <c r="K13"/>
    </row>
    <row r="14" spans="1:11" s="18" customFormat="1" ht="17.75" customHeight="1" x14ac:dyDescent="0.35">
      <c r="A14"/>
      <c r="B14" s="23" t="s">
        <v>29</v>
      </c>
      <c r="C14" s="23"/>
      <c r="D14" s="129"/>
      <c r="E14" s="130"/>
      <c r="F14" s="130"/>
      <c r="G14" s="130"/>
      <c r="H14" s="130"/>
      <c r="I14" s="130"/>
      <c r="J14" s="131"/>
      <c r="K14"/>
    </row>
    <row r="15" spans="1:11" s="18" customFormat="1" ht="17.5" x14ac:dyDescent="0.35">
      <c r="A15"/>
      <c r="B15" s="23"/>
      <c r="C15" s="23"/>
      <c r="K15"/>
    </row>
    <row r="16" spans="1:11" s="18" customFormat="1" ht="17.5" x14ac:dyDescent="0.35">
      <c r="A16"/>
      <c r="B16" s="23" t="s">
        <v>30</v>
      </c>
      <c r="C16" s="23"/>
      <c r="D16" s="110"/>
      <c r="E16" s="23" t="s">
        <v>31</v>
      </c>
      <c r="F16" s="23"/>
      <c r="G16" s="24"/>
      <c r="K16"/>
    </row>
    <row r="17" spans="1:11" s="18" customFormat="1" ht="17.5" x14ac:dyDescent="0.35">
      <c r="A17"/>
      <c r="B17" s="23" t="s">
        <v>32</v>
      </c>
      <c r="C17" s="24"/>
      <c r="D17" s="111"/>
      <c r="E17" s="27"/>
      <c r="F17" s="28"/>
      <c r="G17" s="28"/>
      <c r="H17" s="27"/>
      <c r="K17"/>
    </row>
    <row r="18" spans="1:11" s="18" customFormat="1" ht="17.5" x14ac:dyDescent="0.35">
      <c r="A18"/>
      <c r="B18" s="24"/>
      <c r="C18" s="24"/>
      <c r="D18" s="29"/>
      <c r="E18" s="27"/>
      <c r="F18" s="28"/>
      <c r="G18" s="28"/>
      <c r="H18" s="27"/>
      <c r="K18"/>
    </row>
    <row r="19" spans="1:11" s="18" customFormat="1" ht="17.5" x14ac:dyDescent="0.35">
      <c r="A19"/>
      <c r="B19" s="23" t="s">
        <v>109</v>
      </c>
      <c r="C19" s="23"/>
      <c r="D19" s="109"/>
      <c r="E19" s="24"/>
      <c r="F19" s="24"/>
      <c r="G19" s="24"/>
      <c r="H19" s="27"/>
      <c r="I19" s="30"/>
      <c r="J19" s="30"/>
      <c r="K19"/>
    </row>
    <row r="20" spans="1:11" s="18" customFormat="1" ht="17.5" x14ac:dyDescent="0.35">
      <c r="A20"/>
      <c r="B20" s="23"/>
      <c r="C20" s="24"/>
      <c r="D20" s="24"/>
      <c r="E20" s="24"/>
      <c r="F20" s="24"/>
      <c r="G20" s="24"/>
      <c r="H20" s="24"/>
      <c r="I20" s="30"/>
      <c r="J20" s="30"/>
      <c r="K20"/>
    </row>
    <row r="21" spans="1:11" s="18" customFormat="1" ht="17.5" x14ac:dyDescent="0.35">
      <c r="A21"/>
      <c r="B21" s="32" t="s">
        <v>33</v>
      </c>
      <c r="C21" s="24"/>
      <c r="D21" s="24"/>
      <c r="E21" s="24"/>
      <c r="F21" s="24"/>
      <c r="G21" s="24"/>
      <c r="H21" s="24"/>
      <c r="I21" s="30"/>
      <c r="J21" s="30"/>
      <c r="K21"/>
    </row>
    <row r="22" spans="1:11" s="18" customFormat="1" ht="17.5" x14ac:dyDescent="0.35">
      <c r="A22"/>
      <c r="B22" s="32"/>
      <c r="C22" s="24"/>
      <c r="D22" s="24"/>
      <c r="E22" s="24"/>
      <c r="F22" s="24"/>
      <c r="G22" s="24"/>
      <c r="H22" s="24"/>
      <c r="I22" s="30"/>
      <c r="J22" s="30"/>
      <c r="K22"/>
    </row>
    <row r="23" spans="1:11" s="18" customFormat="1" ht="18" x14ac:dyDescent="0.4">
      <c r="A23"/>
      <c r="B23" s="31" t="s">
        <v>4</v>
      </c>
      <c r="C23" s="24"/>
      <c r="D23" s="112">
        <v>0</v>
      </c>
      <c r="E23" s="24"/>
      <c r="F23" s="66" t="str">
        <f>IF(D23&gt;5000000,"Refer- Turnover is greater than €5000000",".")</f>
        <v>.</v>
      </c>
      <c r="G23" s="24"/>
      <c r="H23" s="24"/>
      <c r="I23" s="30"/>
      <c r="J23" s="30"/>
      <c r="K23"/>
    </row>
    <row r="24" spans="1:11" s="18" customFormat="1" ht="17.5" x14ac:dyDescent="0.35">
      <c r="A24"/>
      <c r="B24" s="24"/>
      <c r="C24" s="24"/>
      <c r="D24" s="24"/>
      <c r="E24" s="24"/>
      <c r="F24" s="29"/>
      <c r="G24" s="128"/>
      <c r="H24" s="24"/>
      <c r="I24" s="30"/>
      <c r="J24" s="30"/>
      <c r="K24"/>
    </row>
    <row r="25" spans="1:11" s="18" customFormat="1" ht="18" x14ac:dyDescent="0.4">
      <c r="A25"/>
      <c r="B25" s="23" t="s">
        <v>34</v>
      </c>
      <c r="C25" s="24"/>
      <c r="D25" s="112">
        <v>0</v>
      </c>
      <c r="E25" s="24"/>
      <c r="F25" s="66" t="str">
        <f>IF(D25&gt;2500000,"Refer- Contract value is greater than €2500000",".")</f>
        <v>.</v>
      </c>
      <c r="G25" s="24"/>
      <c r="H25" s="24"/>
      <c r="I25" s="30"/>
      <c r="J25" s="30"/>
      <c r="K25"/>
    </row>
    <row r="26" spans="1:11" s="18" customFormat="1" ht="18" x14ac:dyDescent="0.4">
      <c r="A26"/>
      <c r="B26" s="23" t="s">
        <v>35</v>
      </c>
      <c r="C26" s="24"/>
      <c r="D26" s="113">
        <v>0</v>
      </c>
      <c r="E26" s="23" t="s">
        <v>74</v>
      </c>
      <c r="F26" s="66" t="str">
        <f>IF(D26&gt;24,"Refer- Contract period is greater than 24 months",".")</f>
        <v>.</v>
      </c>
      <c r="G26" s="24"/>
      <c r="H26" s="24"/>
      <c r="I26" s="30"/>
      <c r="J26" s="30"/>
      <c r="K26"/>
    </row>
    <row r="27" spans="1:11" s="18" customFormat="1" ht="18" x14ac:dyDescent="0.4">
      <c r="A27"/>
      <c r="B27" s="23" t="s">
        <v>106</v>
      </c>
      <c r="C27" s="24"/>
      <c r="D27" s="113">
        <v>0</v>
      </c>
      <c r="E27" s="23" t="s">
        <v>74</v>
      </c>
      <c r="F27" s="66" t="str">
        <f>IF(D27&gt;24,"Refer- Maintenence period is greater than 24 months",".")</f>
        <v>.</v>
      </c>
      <c r="G27" s="24"/>
      <c r="H27" s="24"/>
      <c r="I27" s="30"/>
      <c r="J27" s="30"/>
      <c r="K27"/>
    </row>
    <row r="28" spans="1:11" s="18" customFormat="1" ht="18" x14ac:dyDescent="0.4">
      <c r="A28"/>
      <c r="B28" s="23"/>
      <c r="C28" s="24"/>
      <c r="D28" s="23"/>
      <c r="E28" s="23"/>
      <c r="F28" s="66"/>
      <c r="G28" s="24"/>
      <c r="H28" s="24"/>
      <c r="I28" s="30"/>
      <c r="J28" s="30"/>
      <c r="K28"/>
    </row>
    <row r="29" spans="1:11" s="18" customFormat="1" ht="17.5" x14ac:dyDescent="0.35">
      <c r="A29"/>
      <c r="B29" s="33" t="s">
        <v>36</v>
      </c>
      <c r="C29" s="24"/>
      <c r="D29" s="24"/>
      <c r="E29" s="24"/>
      <c r="F29" s="29"/>
      <c r="G29" s="24"/>
      <c r="H29" s="24"/>
      <c r="I29" s="30"/>
      <c r="J29" s="30"/>
      <c r="K29"/>
    </row>
    <row r="30" spans="1:11" s="18" customFormat="1" ht="17.5" x14ac:dyDescent="0.35">
      <c r="A30"/>
      <c r="B30" s="23" t="s">
        <v>37</v>
      </c>
      <c r="C30" s="24"/>
      <c r="D30" s="112">
        <v>0</v>
      </c>
      <c r="E30" s="24"/>
      <c r="F30" s="29"/>
      <c r="G30" s="24"/>
      <c r="H30" s="24"/>
      <c r="I30" s="30"/>
      <c r="J30" s="30"/>
      <c r="K30"/>
    </row>
    <row r="31" spans="1:11" s="18" customFormat="1" ht="17.5" x14ac:dyDescent="0.35">
      <c r="A31"/>
      <c r="B31" s="23"/>
      <c r="C31" s="24"/>
      <c r="D31" s="24"/>
      <c r="E31" s="24"/>
      <c r="F31" s="29"/>
      <c r="G31" s="24"/>
      <c r="H31" s="24"/>
      <c r="I31" s="30"/>
      <c r="J31" s="30"/>
      <c r="K31"/>
    </row>
    <row r="32" spans="1:11" s="18" customFormat="1" ht="18" x14ac:dyDescent="0.4">
      <c r="A32"/>
      <c r="B32" s="33" t="s">
        <v>38</v>
      </c>
      <c r="C32" s="34"/>
      <c r="D32" s="112">
        <v>0</v>
      </c>
      <c r="F32" s="66" t="str">
        <f>IF(D32&gt;1000000,"Refer- Sum Insured is greater than 1M",".")</f>
        <v>.</v>
      </c>
      <c r="G32" s="24"/>
      <c r="H32" s="24"/>
      <c r="I32" s="30"/>
      <c r="J32" s="30"/>
      <c r="K32"/>
    </row>
    <row r="33" spans="1:11" s="18" customFormat="1" ht="18" x14ac:dyDescent="0.4">
      <c r="A33"/>
      <c r="B33" s="23" t="s">
        <v>39</v>
      </c>
      <c r="C33" s="24"/>
      <c r="D33" s="112">
        <v>0</v>
      </c>
      <c r="F33" s="66" t="str">
        <f>IF(D33&gt;500000,"Refer- Sum Insured is greater than €500.000.00",".")</f>
        <v>.</v>
      </c>
      <c r="G33" s="24"/>
      <c r="I33" s="23"/>
      <c r="J33" s="30"/>
      <c r="K33"/>
    </row>
    <row r="34" spans="1:11" s="18" customFormat="1" ht="18" x14ac:dyDescent="0.4">
      <c r="A34"/>
      <c r="B34" s="23"/>
      <c r="C34" s="24"/>
      <c r="D34" s="112">
        <v>0</v>
      </c>
      <c r="E34" s="23"/>
      <c r="F34" s="66"/>
      <c r="G34" s="24"/>
      <c r="I34" s="23"/>
      <c r="J34" s="30"/>
      <c r="K34"/>
    </row>
    <row r="35" spans="1:11" s="18" customFormat="1" ht="17.5" x14ac:dyDescent="0.35">
      <c r="A35"/>
      <c r="B35" s="33" t="s">
        <v>40</v>
      </c>
      <c r="C35" s="24"/>
      <c r="D35" s="35"/>
      <c r="E35" s="24"/>
      <c r="F35" s="29"/>
      <c r="G35" s="24"/>
      <c r="H35" s="24"/>
      <c r="I35" s="30"/>
      <c r="J35" s="30"/>
      <c r="K35"/>
    </row>
    <row r="36" spans="1:11" s="18" customFormat="1" ht="18" x14ac:dyDescent="0.4">
      <c r="A36"/>
      <c r="B36" s="23" t="s">
        <v>41</v>
      </c>
      <c r="C36" s="24"/>
      <c r="D36" s="112">
        <v>0</v>
      </c>
      <c r="E36" s="24"/>
      <c r="F36" s="66" t="str">
        <f>IF(D36&gt;250000,"Refer- Value is greater than €250,000",".")</f>
        <v>.</v>
      </c>
      <c r="G36" s="24"/>
      <c r="H36" s="24"/>
      <c r="I36" s="30"/>
      <c r="J36" s="30"/>
      <c r="K36"/>
    </row>
    <row r="37" spans="1:11" s="18" customFormat="1" ht="18" x14ac:dyDescent="0.4">
      <c r="A37"/>
      <c r="B37" s="23" t="s">
        <v>17</v>
      </c>
      <c r="C37" s="24"/>
      <c r="D37" s="112">
        <v>0</v>
      </c>
      <c r="E37" s="24"/>
      <c r="F37" s="66" t="str">
        <f>IF(D37&gt;1000000,"Refer- Value is greater than €1,000,000",".")</f>
        <v>.</v>
      </c>
      <c r="G37" s="24"/>
      <c r="H37" s="24"/>
      <c r="I37" s="30"/>
      <c r="J37" s="30"/>
      <c r="K37"/>
    </row>
    <row r="38" spans="1:11" s="18" customFormat="1" ht="17.5" x14ac:dyDescent="0.35">
      <c r="A38"/>
      <c r="B38" s="23"/>
      <c r="C38" s="24"/>
      <c r="D38" s="24"/>
      <c r="E38" s="24"/>
      <c r="F38" s="29"/>
      <c r="G38" s="24"/>
      <c r="H38" s="24"/>
      <c r="I38" s="30"/>
      <c r="J38" s="30"/>
    </row>
    <row r="39" spans="1:11" s="18" customFormat="1" ht="17.5" x14ac:dyDescent="0.35">
      <c r="A39"/>
      <c r="B39" s="23" t="s">
        <v>42</v>
      </c>
      <c r="C39" s="24"/>
      <c r="D39" s="112">
        <v>0</v>
      </c>
      <c r="E39" s="23" t="s">
        <v>81</v>
      </c>
      <c r="F39" s="29"/>
      <c r="G39" s="24"/>
      <c r="H39" s="24"/>
      <c r="I39" s="30"/>
      <c r="J39" s="30"/>
    </row>
    <row r="40" spans="1:11" s="18" customFormat="1" ht="17.5" x14ac:dyDescent="0.35">
      <c r="A40"/>
      <c r="B40" s="24"/>
      <c r="C40" s="24"/>
      <c r="D40" s="24"/>
      <c r="E40" s="24"/>
      <c r="F40" s="29"/>
      <c r="G40" s="24"/>
      <c r="H40" s="24"/>
      <c r="I40" s="30"/>
      <c r="J40" s="30"/>
    </row>
    <row r="41" spans="1:11" s="18" customFormat="1" ht="17.5" x14ac:dyDescent="0.35">
      <c r="A41"/>
      <c r="B41" s="24" t="s">
        <v>43</v>
      </c>
      <c r="C41" s="24"/>
      <c r="D41" s="24"/>
      <c r="E41" s="24"/>
      <c r="F41" s="24"/>
      <c r="G41" s="24"/>
      <c r="H41" s="24"/>
      <c r="I41" s="24"/>
      <c r="J41" s="24"/>
    </row>
    <row r="42" spans="1:11" s="18" customFormat="1" ht="17.5" x14ac:dyDescent="0.35">
      <c r="A42"/>
      <c r="B42" s="67" t="s">
        <v>44</v>
      </c>
      <c r="C42" s="23"/>
      <c r="D42" s="23"/>
      <c r="E42" s="23"/>
      <c r="F42" s="23"/>
      <c r="G42" s="76"/>
      <c r="H42" s="37"/>
      <c r="I42" s="28"/>
      <c r="J42" s="28"/>
    </row>
    <row r="43" spans="1:11" s="18" customFormat="1" ht="17.5" x14ac:dyDescent="0.35">
      <c r="A43"/>
      <c r="B43" s="67" t="s">
        <v>45</v>
      </c>
      <c r="C43" s="67"/>
      <c r="D43" s="67"/>
      <c r="E43" s="67"/>
      <c r="F43" s="67"/>
      <c r="G43" s="67"/>
      <c r="H43" s="36"/>
      <c r="I43" s="28"/>
      <c r="J43" s="28"/>
    </row>
    <row r="44" spans="1:11" s="18" customFormat="1" ht="17.5" x14ac:dyDescent="0.35">
      <c r="A44"/>
      <c r="B44" s="67" t="s">
        <v>46</v>
      </c>
      <c r="C44" s="67"/>
      <c r="D44" s="67"/>
      <c r="E44" s="67"/>
      <c r="F44" s="67"/>
      <c r="G44" s="67"/>
      <c r="H44" s="36"/>
      <c r="I44" s="28"/>
      <c r="J44" s="28"/>
    </row>
    <row r="45" spans="1:11" s="18" customFormat="1" ht="17.5" x14ac:dyDescent="0.35">
      <c r="A45"/>
      <c r="B45" s="67" t="s">
        <v>47</v>
      </c>
      <c r="C45" s="67"/>
      <c r="D45" s="67"/>
      <c r="E45" s="67"/>
      <c r="F45" s="67"/>
      <c r="G45" s="67"/>
      <c r="H45" s="36"/>
      <c r="I45" s="28"/>
      <c r="J45" s="28"/>
    </row>
    <row r="46" spans="1:11" s="18" customFormat="1" ht="17.5" x14ac:dyDescent="0.35">
      <c r="A46"/>
      <c r="B46" s="67" t="s">
        <v>48</v>
      </c>
      <c r="C46" s="67"/>
      <c r="D46" s="67"/>
      <c r="E46" s="67"/>
      <c r="F46" s="67"/>
      <c r="G46" s="67"/>
      <c r="H46" s="36"/>
      <c r="I46" s="28"/>
      <c r="J46" s="28"/>
    </row>
    <row r="47" spans="1:11" s="18" customFormat="1" ht="16.25" customHeight="1" x14ac:dyDescent="0.35">
      <c r="A47"/>
      <c r="B47" s="67" t="s">
        <v>49</v>
      </c>
      <c r="C47" s="67"/>
      <c r="D47" s="67"/>
      <c r="E47" s="67"/>
      <c r="F47" s="67"/>
      <c r="G47" s="67"/>
      <c r="H47" s="38"/>
      <c r="I47" s="38"/>
      <c r="J47" s="38"/>
    </row>
    <row r="48" spans="1:11" s="18" customFormat="1" ht="17.5" x14ac:dyDescent="0.35">
      <c r="A48"/>
      <c r="B48" s="84" t="s">
        <v>50</v>
      </c>
      <c r="C48" s="77"/>
      <c r="D48" s="67"/>
      <c r="E48" s="67"/>
      <c r="F48" s="67"/>
      <c r="G48" s="67"/>
      <c r="H48" s="38"/>
      <c r="I48" s="38"/>
      <c r="J48" s="38"/>
    </row>
    <row r="49" spans="1:11" s="18" customFormat="1" ht="17.5" x14ac:dyDescent="0.35">
      <c r="A49"/>
      <c r="B49" s="39"/>
      <c r="C49" s="39"/>
      <c r="D49" s="38"/>
      <c r="E49" s="38"/>
      <c r="F49" s="38"/>
      <c r="G49" s="38"/>
      <c r="H49" s="38"/>
      <c r="I49" s="38"/>
      <c r="J49" s="38"/>
    </row>
    <row r="50" spans="1:11" s="18" customFormat="1" ht="18" thickBot="1" x14ac:dyDescent="0.4">
      <c r="A50"/>
      <c r="B50" s="40" t="s">
        <v>75</v>
      </c>
      <c r="C50" s="38"/>
      <c r="D50" s="38"/>
      <c r="E50" s="38"/>
      <c r="F50" s="38"/>
      <c r="G50" s="38"/>
      <c r="H50" s="38"/>
      <c r="I50" s="38"/>
      <c r="J50" s="38"/>
      <c r="K50" s="38"/>
    </row>
    <row r="51" spans="1:11" s="18" customFormat="1" ht="18" thickTop="1" x14ac:dyDescent="0.35">
      <c r="A51"/>
      <c r="B51" s="68"/>
      <c r="C51" s="69"/>
      <c r="D51" s="69"/>
      <c r="E51" s="69"/>
      <c r="F51" s="69"/>
      <c r="G51" s="69"/>
      <c r="H51" s="69"/>
      <c r="I51" s="69"/>
      <c r="J51" s="74"/>
      <c r="K51" s="38"/>
    </row>
    <row r="52" spans="1:11" s="18" customFormat="1" ht="15" customHeight="1" x14ac:dyDescent="0.35">
      <c r="A52"/>
      <c r="B52" s="67" t="s">
        <v>76</v>
      </c>
      <c r="C52" s="70"/>
      <c r="D52" s="82" t="s">
        <v>89</v>
      </c>
      <c r="E52" s="112">
        <v>1000</v>
      </c>
      <c r="F52" s="71" t="s">
        <v>78</v>
      </c>
      <c r="G52" s="72"/>
      <c r="H52" s="72"/>
      <c r="I52" s="72"/>
      <c r="J52" s="75"/>
      <c r="K52" s="38"/>
    </row>
    <row r="53" spans="1:11" s="18" customFormat="1" ht="17.5" x14ac:dyDescent="0.35">
      <c r="A53"/>
      <c r="B53" s="73"/>
      <c r="C53" s="71"/>
      <c r="D53" s="71"/>
      <c r="E53" s="71"/>
      <c r="F53" s="71"/>
      <c r="G53" s="72"/>
      <c r="H53" s="72"/>
      <c r="I53" s="72"/>
      <c r="J53" s="75"/>
      <c r="K53" s="38"/>
    </row>
    <row r="54" spans="1:11" s="18" customFormat="1" ht="18" customHeight="1" x14ac:dyDescent="0.35">
      <c r="A54"/>
      <c r="B54" s="67" t="s">
        <v>77</v>
      </c>
      <c r="C54" s="70"/>
      <c r="D54" s="82"/>
      <c r="E54" s="114">
        <f>$E$52</f>
        <v>1000</v>
      </c>
      <c r="F54" s="71" t="s">
        <v>79</v>
      </c>
      <c r="G54" s="72"/>
      <c r="H54" s="72"/>
      <c r="I54" s="72"/>
      <c r="J54" s="75"/>
      <c r="K54" s="38"/>
    </row>
    <row r="55" spans="1:11" s="18" customFormat="1" ht="17.5" x14ac:dyDescent="0.35">
      <c r="A55"/>
      <c r="B55" s="73"/>
      <c r="C55" s="71"/>
      <c r="D55" s="18" t="s">
        <v>102</v>
      </c>
      <c r="E55" s="114">
        <v>2500</v>
      </c>
      <c r="F55" s="71" t="s">
        <v>103</v>
      </c>
      <c r="G55" s="115"/>
      <c r="H55" s="72"/>
      <c r="I55" s="72"/>
      <c r="J55" s="75"/>
      <c r="K55" s="38"/>
    </row>
    <row r="56" spans="1:11" s="18" customFormat="1" ht="18.75" customHeight="1" x14ac:dyDescent="0.35">
      <c r="A56"/>
      <c r="B56" s="73"/>
      <c r="C56" s="71"/>
      <c r="D56" s="71"/>
      <c r="E56" s="114"/>
      <c r="F56" s="71" t="s">
        <v>104</v>
      </c>
      <c r="G56" s="72"/>
      <c r="H56" s="72"/>
      <c r="I56" s="72"/>
      <c r="J56" s="75"/>
      <c r="K56" s="38"/>
    </row>
    <row r="57" spans="1:11" s="18" customFormat="1" ht="19" thickBot="1" x14ac:dyDescent="0.5">
      <c r="A57"/>
      <c r="B57" s="117" t="s">
        <v>90</v>
      </c>
      <c r="C57" s="72"/>
      <c r="D57" s="118">
        <f>'Quote Engine'!$D$116</f>
        <v>0</v>
      </c>
      <c r="E57" s="116" t="str">
        <f>IF(D57&gt;5000000,"This submission is a decline",".")</f>
        <v>.</v>
      </c>
      <c r="F57" s="71" t="s">
        <v>105</v>
      </c>
      <c r="G57" s="71"/>
      <c r="H57" s="72"/>
      <c r="I57" s="72"/>
      <c r="J57" s="75"/>
      <c r="K57" s="38"/>
    </row>
    <row r="58" spans="1:11" s="18" customFormat="1" ht="18.5" thickTop="1" thickBot="1" x14ac:dyDescent="0.4">
      <c r="A58"/>
      <c r="B58" s="119" t="s">
        <v>101</v>
      </c>
      <c r="C58" s="120"/>
      <c r="D58" s="120"/>
      <c r="E58" s="120"/>
      <c r="F58" s="120"/>
      <c r="G58" s="120"/>
      <c r="H58" s="120"/>
      <c r="I58" s="120"/>
      <c r="J58" s="121"/>
      <c r="K58" s="38"/>
    </row>
    <row r="59" spans="1:11" s="18" customFormat="1" ht="18" thickTop="1" x14ac:dyDescent="0.35">
      <c r="A59"/>
      <c r="B59" s="40" t="s">
        <v>107</v>
      </c>
      <c r="C59" s="44"/>
      <c r="D59" s="41"/>
      <c r="E59" s="41"/>
      <c r="F59" s="41"/>
      <c r="G59" s="41"/>
      <c r="H59" s="41"/>
      <c r="I59" s="41"/>
      <c r="J59" s="42"/>
      <c r="K59" s="38"/>
    </row>
    <row r="60" spans="1:11" s="18" customFormat="1" ht="17.5" x14ac:dyDescent="0.35">
      <c r="A60"/>
      <c r="B60" s="67"/>
      <c r="C60" s="67"/>
      <c r="D60" s="67"/>
      <c r="E60" s="67"/>
      <c r="F60" s="67"/>
      <c r="G60" s="67"/>
      <c r="H60" s="67"/>
      <c r="I60" s="67"/>
      <c r="J60" s="75"/>
      <c r="K60" s="38"/>
    </row>
    <row r="61" spans="1:11" s="18" customFormat="1" ht="18" customHeight="1" x14ac:dyDescent="0.35">
      <c r="A61"/>
      <c r="B61" s="67"/>
      <c r="C61" s="67"/>
      <c r="D61" s="67"/>
      <c r="E61" s="67"/>
      <c r="F61" s="67"/>
      <c r="G61" s="67"/>
      <c r="H61" s="67"/>
      <c r="I61" s="67"/>
      <c r="J61" s="75"/>
      <c r="K61" s="38"/>
    </row>
    <row r="62" spans="1:11" s="18" customFormat="1" ht="17.5" x14ac:dyDescent="0.35">
      <c r="A62"/>
      <c r="B62" s="67"/>
      <c r="C62" s="67"/>
      <c r="D62" s="67"/>
      <c r="E62" s="67"/>
      <c r="F62" s="67"/>
      <c r="G62" s="67"/>
      <c r="H62" s="67"/>
      <c r="I62" s="67"/>
      <c r="J62" s="75"/>
      <c r="K62" s="38"/>
    </row>
    <row r="63" spans="1:11" s="18" customFormat="1" ht="17.5" x14ac:dyDescent="0.35">
      <c r="A63"/>
      <c r="B63" s="67"/>
      <c r="C63" s="67"/>
      <c r="D63" s="67"/>
      <c r="E63" s="67"/>
      <c r="F63" s="67"/>
      <c r="G63" s="67"/>
      <c r="H63" s="67"/>
      <c r="I63" s="67"/>
      <c r="J63" s="75"/>
      <c r="K63" s="38"/>
    </row>
    <row r="64" spans="1:11" s="18" customFormat="1" ht="17.5" x14ac:dyDescent="0.35">
      <c r="A64"/>
      <c r="B64" s="67"/>
      <c r="C64" s="67"/>
      <c r="D64" s="67"/>
      <c r="E64" s="67"/>
      <c r="F64" s="67"/>
      <c r="G64" s="67"/>
      <c r="H64" s="67"/>
      <c r="I64" s="67"/>
      <c r="J64" s="75"/>
      <c r="K64" s="38"/>
    </row>
    <row r="65" spans="1:11" s="18" customFormat="1" ht="17.5" x14ac:dyDescent="0.35">
      <c r="A65"/>
      <c r="B65" s="67"/>
      <c r="C65" s="67"/>
      <c r="D65" s="67"/>
      <c r="E65" s="67"/>
      <c r="F65" s="67"/>
      <c r="G65" s="67"/>
      <c r="H65" s="67"/>
      <c r="I65" s="67"/>
      <c r="J65" s="75"/>
      <c r="K65" s="38"/>
    </row>
    <row r="66" spans="1:11" s="18" customFormat="1" ht="17.5" x14ac:dyDescent="0.35">
      <c r="A66"/>
      <c r="B66" s="67"/>
      <c r="C66" s="67"/>
      <c r="D66" s="67"/>
      <c r="E66" s="67"/>
      <c r="F66" s="67"/>
      <c r="G66" s="67"/>
      <c r="H66" s="67"/>
      <c r="I66" s="67"/>
      <c r="J66" s="75"/>
      <c r="K66" s="38"/>
    </row>
    <row r="67" spans="1:11" s="18" customFormat="1" ht="22.25" customHeight="1" x14ac:dyDescent="0.35">
      <c r="A67"/>
      <c r="B67" s="67"/>
      <c r="C67" s="67"/>
      <c r="D67" s="67"/>
      <c r="E67" s="67"/>
      <c r="F67" s="67"/>
      <c r="G67" s="67"/>
      <c r="H67" s="67"/>
      <c r="I67" s="67"/>
      <c r="J67" s="75"/>
      <c r="K67" s="38"/>
    </row>
    <row r="68" spans="1:11" s="18" customFormat="1" ht="21.65" customHeight="1" thickBot="1" x14ac:dyDescent="0.4">
      <c r="A68"/>
      <c r="B68" s="45"/>
      <c r="C68" s="43"/>
      <c r="D68" s="43"/>
      <c r="E68" s="43"/>
      <c r="F68" s="43"/>
      <c r="G68" s="43"/>
      <c r="H68" s="43"/>
      <c r="I68" s="43"/>
      <c r="J68" s="122"/>
      <c r="K68" s="38"/>
    </row>
    <row r="69" spans="1:11" s="18" customFormat="1" ht="24.75" customHeight="1" thickTop="1" thickBot="1" x14ac:dyDescent="0.4">
      <c r="A69"/>
      <c r="B69" s="123"/>
      <c r="C69" s="124"/>
      <c r="D69" s="125" t="s">
        <v>51</v>
      </c>
      <c r="E69" s="126"/>
      <c r="F69" s="126"/>
      <c r="G69" s="126"/>
      <c r="H69" s="126"/>
      <c r="I69" s="124"/>
      <c r="J69" s="127"/>
      <c r="K69" s="38"/>
    </row>
    <row r="70" spans="1:11" ht="15" thickTop="1" x14ac:dyDescent="0.35"/>
    <row r="71" spans="1:11" s="18" customFormat="1" ht="17.5" x14ac:dyDescent="0.35">
      <c r="A71"/>
    </row>
    <row r="86" spans="1:11" s="18" customFormat="1" ht="17.75" hidden="1" customHeight="1" x14ac:dyDescent="0.35">
      <c r="A86"/>
      <c r="B86" s="36" t="s">
        <v>52</v>
      </c>
      <c r="C86" s="38"/>
      <c r="D86"/>
      <c r="E86"/>
      <c r="F86"/>
      <c r="G86"/>
      <c r="H86"/>
      <c r="I86"/>
      <c r="J86"/>
      <c r="K86"/>
    </row>
    <row r="87" spans="1:11" s="18" customFormat="1" ht="17.75" hidden="1" customHeight="1" x14ac:dyDescent="0.35">
      <c r="A87"/>
      <c r="B87"/>
      <c r="C87" s="38"/>
      <c r="D87"/>
      <c r="E87"/>
      <c r="F87"/>
      <c r="G87"/>
      <c r="H87"/>
      <c r="I87"/>
      <c r="J87"/>
      <c r="K87"/>
    </row>
    <row r="88" spans="1:11" s="18" customFormat="1" ht="17.75" hidden="1" customHeight="1" x14ac:dyDescent="0.35">
      <c r="A88"/>
      <c r="B88" s="36"/>
      <c r="C88" s="38"/>
      <c r="D88"/>
      <c r="E88"/>
      <c r="F88"/>
      <c r="G88"/>
      <c r="H88"/>
      <c r="I88"/>
      <c r="J88"/>
      <c r="K88"/>
    </row>
    <row r="89" spans="1:11" s="18" customFormat="1" ht="17.75" hidden="1" customHeight="1" x14ac:dyDescent="0.35">
      <c r="A89"/>
      <c r="B89" s="36" t="s">
        <v>53</v>
      </c>
      <c r="C89" s="38"/>
      <c r="D89"/>
      <c r="E89"/>
      <c r="F89"/>
      <c r="G89"/>
      <c r="H89"/>
      <c r="I89"/>
      <c r="J89"/>
      <c r="K89"/>
    </row>
    <row r="90" spans="1:11" s="18" customFormat="1" ht="17.75" hidden="1" customHeight="1" x14ac:dyDescent="0.35">
      <c r="A90"/>
      <c r="B90" s="36" t="s">
        <v>54</v>
      </c>
      <c r="C90" s="38"/>
      <c r="D90"/>
      <c r="E90"/>
      <c r="F90"/>
      <c r="G90"/>
      <c r="H90"/>
      <c r="I90"/>
      <c r="J90"/>
      <c r="K90"/>
    </row>
    <row r="91" spans="1:11" s="18" customFormat="1" ht="17.75" hidden="1" customHeight="1" x14ac:dyDescent="0.35">
      <c r="A91"/>
      <c r="B91" s="36" t="s">
        <v>55</v>
      </c>
      <c r="C91" s="38"/>
      <c r="D91"/>
      <c r="E91"/>
      <c r="F91"/>
      <c r="G91"/>
      <c r="H91"/>
      <c r="I91"/>
      <c r="J91"/>
      <c r="K91"/>
    </row>
    <row r="92" spans="1:11" s="18" customFormat="1" ht="17.75" hidden="1" customHeight="1" x14ac:dyDescent="0.35">
      <c r="A92"/>
      <c r="B92" s="36" t="s">
        <v>56</v>
      </c>
      <c r="C92" s="38"/>
      <c r="D92"/>
      <c r="E92"/>
      <c r="F92"/>
      <c r="G92"/>
      <c r="H92"/>
      <c r="I92"/>
      <c r="J92"/>
      <c r="K92"/>
    </row>
    <row r="93" spans="1:11" s="18" customFormat="1" ht="17.75" hidden="1" customHeight="1" x14ac:dyDescent="0.35">
      <c r="A93"/>
      <c r="D93"/>
      <c r="E93"/>
      <c r="F93"/>
      <c r="G93"/>
      <c r="H93"/>
      <c r="I93"/>
      <c r="J93"/>
      <c r="K93"/>
    </row>
    <row r="94" spans="1:11" s="18" customFormat="1" ht="17.75" hidden="1" customHeight="1" x14ac:dyDescent="0.35">
      <c r="A94"/>
      <c r="B94" s="18" t="s">
        <v>57</v>
      </c>
      <c r="D94"/>
      <c r="E94"/>
      <c r="F94"/>
      <c r="G94"/>
      <c r="H94"/>
      <c r="I94"/>
      <c r="J94"/>
      <c r="K94"/>
    </row>
    <row r="95" spans="1:11" s="18" customFormat="1" ht="17.75" hidden="1" customHeight="1" x14ac:dyDescent="0.35">
      <c r="A95"/>
      <c r="B95" s="18" t="s">
        <v>58</v>
      </c>
      <c r="D95"/>
      <c r="E95"/>
      <c r="F95"/>
      <c r="G95"/>
      <c r="H95"/>
      <c r="I95"/>
      <c r="J95"/>
      <c r="K95"/>
    </row>
    <row r="96" spans="1:11" s="18" customFormat="1" ht="17.75" hidden="1" customHeight="1" x14ac:dyDescent="0.35">
      <c r="A96"/>
      <c r="D96"/>
      <c r="E96"/>
      <c r="F96"/>
      <c r="G96"/>
      <c r="H96"/>
      <c r="I96"/>
      <c r="J96"/>
      <c r="K96"/>
    </row>
    <row r="97" spans="1:11" s="18" customFormat="1" ht="17.75" hidden="1" customHeight="1" x14ac:dyDescent="0.35">
      <c r="A97"/>
      <c r="D97"/>
      <c r="E97"/>
      <c r="F97"/>
      <c r="G97"/>
      <c r="H97"/>
      <c r="I97"/>
      <c r="J97"/>
      <c r="K97"/>
    </row>
    <row r="98" spans="1:11" s="18" customFormat="1" ht="17.75" hidden="1" customHeight="1" x14ac:dyDescent="0.35">
      <c r="A98"/>
      <c r="B98" s="18" t="s">
        <v>59</v>
      </c>
      <c r="D98"/>
      <c r="E98"/>
      <c r="F98"/>
      <c r="G98"/>
      <c r="H98"/>
      <c r="I98"/>
      <c r="J98"/>
      <c r="K98"/>
    </row>
    <row r="99" spans="1:11" s="18" customFormat="1" ht="17.75" hidden="1" customHeight="1" x14ac:dyDescent="0.35">
      <c r="A99"/>
      <c r="B99" s="18" t="s">
        <v>60</v>
      </c>
      <c r="C99"/>
      <c r="D99"/>
      <c r="E99"/>
      <c r="F99"/>
      <c r="G99"/>
      <c r="H99"/>
      <c r="I99"/>
      <c r="J99"/>
      <c r="K99"/>
    </row>
    <row r="100" spans="1:11" s="18" customFormat="1" ht="17.75" hidden="1" customHeight="1" x14ac:dyDescent="0.35">
      <c r="A100"/>
      <c r="B100" s="18" t="s">
        <v>61</v>
      </c>
      <c r="C100"/>
      <c r="D100"/>
      <c r="E100"/>
      <c r="F100"/>
      <c r="G100"/>
      <c r="H100"/>
      <c r="I100"/>
      <c r="J100"/>
      <c r="K100"/>
    </row>
    <row r="101" spans="1:11" s="18" customFormat="1" ht="17.75" hidden="1" customHeight="1" x14ac:dyDescent="0.35">
      <c r="A101"/>
      <c r="B101" s="18" t="s">
        <v>62</v>
      </c>
      <c r="C101"/>
      <c r="D101"/>
      <c r="E101"/>
      <c r="F101"/>
      <c r="G101"/>
      <c r="H101"/>
      <c r="I101"/>
      <c r="J101"/>
      <c r="K101"/>
    </row>
    <row r="102" spans="1:11" s="18" customFormat="1" ht="17.75" hidden="1" customHeight="1" x14ac:dyDescent="0.35">
      <c r="A102"/>
      <c r="C102"/>
      <c r="D102"/>
      <c r="E102"/>
      <c r="F102"/>
      <c r="G102"/>
      <c r="H102"/>
      <c r="I102"/>
      <c r="J102"/>
      <c r="K102"/>
    </row>
    <row r="103" spans="1:11" s="18" customFormat="1" ht="17.75" hidden="1" customHeight="1" x14ac:dyDescent="0.35">
      <c r="A103"/>
      <c r="C103"/>
      <c r="D103"/>
      <c r="E103"/>
      <c r="F103"/>
      <c r="G103"/>
      <c r="H103"/>
      <c r="I103"/>
      <c r="J103"/>
      <c r="K103"/>
    </row>
    <row r="104" spans="1:11" s="18" customFormat="1" ht="17.75" hidden="1" customHeight="1" x14ac:dyDescent="0.35">
      <c r="A104"/>
      <c r="B104" s="18" t="s">
        <v>63</v>
      </c>
      <c r="C104"/>
      <c r="D104"/>
      <c r="E104"/>
      <c r="F104"/>
      <c r="G104"/>
      <c r="H104"/>
      <c r="I104"/>
      <c r="J104"/>
      <c r="K104"/>
    </row>
    <row r="105" spans="1:11" s="18" customFormat="1" ht="17.75" hidden="1" customHeight="1" x14ac:dyDescent="0.35">
      <c r="A105"/>
      <c r="B105" s="18" t="s">
        <v>64</v>
      </c>
      <c r="C105"/>
      <c r="D105"/>
      <c r="E105"/>
      <c r="F105"/>
      <c r="G105"/>
      <c r="H105"/>
      <c r="I105"/>
      <c r="J105"/>
      <c r="K105"/>
    </row>
    <row r="106" spans="1:11" s="18" customFormat="1" ht="17.75" hidden="1" customHeight="1" x14ac:dyDescent="0.35">
      <c r="A106"/>
      <c r="B106" s="18" t="s">
        <v>65</v>
      </c>
      <c r="C106"/>
      <c r="D106"/>
      <c r="E106"/>
      <c r="F106"/>
      <c r="G106"/>
      <c r="H106"/>
      <c r="I106"/>
      <c r="J106"/>
      <c r="K106"/>
    </row>
    <row r="107" spans="1:11" s="18" customFormat="1" ht="17.75" hidden="1" customHeight="1" x14ac:dyDescent="0.35">
      <c r="A107"/>
      <c r="B107" s="18" t="s">
        <v>66</v>
      </c>
      <c r="C107"/>
      <c r="D107"/>
      <c r="E107"/>
      <c r="F107"/>
      <c r="G107"/>
      <c r="H107"/>
      <c r="I107"/>
      <c r="J107"/>
      <c r="K107"/>
    </row>
    <row r="108" spans="1:11" s="18" customFormat="1" ht="17.5" x14ac:dyDescent="0.35">
      <c r="A108"/>
      <c r="C108"/>
      <c r="D108"/>
      <c r="E108"/>
      <c r="F108"/>
      <c r="G108"/>
      <c r="H108"/>
      <c r="I108"/>
      <c r="J108"/>
      <c r="K108"/>
    </row>
  </sheetData>
  <dataConsolidate/>
  <mergeCells count="6">
    <mergeCell ref="D14:J14"/>
    <mergeCell ref="F2:J2"/>
    <mergeCell ref="F3:J4"/>
    <mergeCell ref="B5:D5"/>
    <mergeCell ref="D8:J8"/>
    <mergeCell ref="D10:J10"/>
  </mergeCells>
  <pageMargins left="0.77" right="0.19685039370078741" top="0.98425196850393704" bottom="0.98425196850393704" header="0.51181102362204722" footer="0.51181102362204722"/>
  <pageSetup paperSize="9" scale="50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8</xdr:col>
                    <xdr:colOff>260350</xdr:colOff>
                    <xdr:row>40</xdr:row>
                    <xdr:rowOff>209550</xdr:rowOff>
                  </from>
                  <to>
                    <xdr:col>8</xdr:col>
                    <xdr:colOff>800100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9</xdr:col>
                    <xdr:colOff>114300</xdr:colOff>
                    <xdr:row>41</xdr:row>
                    <xdr:rowOff>0</xdr:rowOff>
                  </from>
                  <to>
                    <xdr:col>9</xdr:col>
                    <xdr:colOff>755650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8</xdr:col>
                    <xdr:colOff>260350</xdr:colOff>
                    <xdr:row>41</xdr:row>
                    <xdr:rowOff>209550</xdr:rowOff>
                  </from>
                  <to>
                    <xdr:col>8</xdr:col>
                    <xdr:colOff>800100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9</xdr:col>
                    <xdr:colOff>114300</xdr:colOff>
                    <xdr:row>42</xdr:row>
                    <xdr:rowOff>0</xdr:rowOff>
                  </from>
                  <to>
                    <xdr:col>9</xdr:col>
                    <xdr:colOff>755650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8</xdr:col>
                    <xdr:colOff>260350</xdr:colOff>
                    <xdr:row>42</xdr:row>
                    <xdr:rowOff>0</xdr:rowOff>
                  </from>
                  <to>
                    <xdr:col>8</xdr:col>
                    <xdr:colOff>800100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9</xdr:col>
                    <xdr:colOff>114300</xdr:colOff>
                    <xdr:row>42</xdr:row>
                    <xdr:rowOff>0</xdr:rowOff>
                  </from>
                  <to>
                    <xdr:col>9</xdr:col>
                    <xdr:colOff>755650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8</xdr:col>
                    <xdr:colOff>260350</xdr:colOff>
                    <xdr:row>42</xdr:row>
                    <xdr:rowOff>0</xdr:rowOff>
                  </from>
                  <to>
                    <xdr:col>8</xdr:col>
                    <xdr:colOff>800100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9</xdr:col>
                    <xdr:colOff>114300</xdr:colOff>
                    <xdr:row>42</xdr:row>
                    <xdr:rowOff>0</xdr:rowOff>
                  </from>
                  <to>
                    <xdr:col>9</xdr:col>
                    <xdr:colOff>755650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8</xdr:col>
                    <xdr:colOff>260350</xdr:colOff>
                    <xdr:row>42</xdr:row>
                    <xdr:rowOff>209550</xdr:rowOff>
                  </from>
                  <to>
                    <xdr:col>8</xdr:col>
                    <xdr:colOff>800100</xdr:colOff>
                    <xdr:row>43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43</xdr:row>
                    <xdr:rowOff>0</xdr:rowOff>
                  </from>
                  <to>
                    <xdr:col>9</xdr:col>
                    <xdr:colOff>755650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8</xdr:col>
                    <xdr:colOff>260350</xdr:colOff>
                    <xdr:row>43</xdr:row>
                    <xdr:rowOff>209550</xdr:rowOff>
                  </from>
                  <to>
                    <xdr:col>8</xdr:col>
                    <xdr:colOff>800100</xdr:colOff>
                    <xdr:row>44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9</xdr:col>
                    <xdr:colOff>114300</xdr:colOff>
                    <xdr:row>44</xdr:row>
                    <xdr:rowOff>0</xdr:rowOff>
                  </from>
                  <to>
                    <xdr:col>9</xdr:col>
                    <xdr:colOff>755650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8</xdr:col>
                    <xdr:colOff>260350</xdr:colOff>
                    <xdr:row>44</xdr:row>
                    <xdr:rowOff>0</xdr:rowOff>
                  </from>
                  <to>
                    <xdr:col>8</xdr:col>
                    <xdr:colOff>800100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9</xdr:col>
                    <xdr:colOff>114300</xdr:colOff>
                    <xdr:row>44</xdr:row>
                    <xdr:rowOff>0</xdr:rowOff>
                  </from>
                  <to>
                    <xdr:col>9</xdr:col>
                    <xdr:colOff>755650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8" name="Check Box 58">
              <controlPr defaultSize="0" autoFill="0" autoLine="0" autoPict="0">
                <anchor moveWithCells="1">
                  <from>
                    <xdr:col>8</xdr:col>
                    <xdr:colOff>260350</xdr:colOff>
                    <xdr:row>44</xdr:row>
                    <xdr:rowOff>209550</xdr:rowOff>
                  </from>
                  <to>
                    <xdr:col>8</xdr:col>
                    <xdr:colOff>800100</xdr:colOff>
                    <xdr:row>45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9" name="Check Box 59">
              <controlPr defaultSize="0" autoFill="0" autoLine="0" autoPict="0">
                <anchor moveWithCells="1">
                  <from>
                    <xdr:col>9</xdr:col>
                    <xdr:colOff>114300</xdr:colOff>
                    <xdr:row>45</xdr:row>
                    <xdr:rowOff>0</xdr:rowOff>
                  </from>
                  <to>
                    <xdr:col>9</xdr:col>
                    <xdr:colOff>755650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0" name="Check Box 60">
              <controlPr defaultSize="0" autoFill="0" autoLine="0" autoPict="0">
                <anchor moveWithCells="1">
                  <from>
                    <xdr:col>8</xdr:col>
                    <xdr:colOff>260350</xdr:colOff>
                    <xdr:row>45</xdr:row>
                    <xdr:rowOff>0</xdr:rowOff>
                  </from>
                  <to>
                    <xdr:col>8</xdr:col>
                    <xdr:colOff>800100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1" name="Check Box 61">
              <controlPr defaultSize="0" autoFill="0" autoLine="0" autoPict="0">
                <anchor moveWithCells="1">
                  <from>
                    <xdr:col>9</xdr:col>
                    <xdr:colOff>114300</xdr:colOff>
                    <xdr:row>45</xdr:row>
                    <xdr:rowOff>0</xdr:rowOff>
                  </from>
                  <to>
                    <xdr:col>9</xdr:col>
                    <xdr:colOff>755650</xdr:colOff>
                    <xdr:row>45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LIst!$B$17:$B$19</xm:f>
          </x14:formula1>
          <xm:sqref>E52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K134"/>
  <sheetViews>
    <sheetView topLeftCell="A101" workbookViewId="0">
      <selection activeCell="J116" sqref="J116"/>
    </sheetView>
  </sheetViews>
  <sheetFormatPr defaultRowHeight="14.5" x14ac:dyDescent="0.35"/>
  <cols>
    <col min="1" max="1" width="38.26953125" customWidth="1"/>
    <col min="2" max="2" width="15.36328125" customWidth="1"/>
    <col min="4" max="4" width="11.81640625" customWidth="1"/>
    <col min="11" max="11" width="11.90625" bestFit="1" customWidth="1"/>
  </cols>
  <sheetData>
    <row r="2" spans="1:5" x14ac:dyDescent="0.35">
      <c r="A2" s="3" t="s">
        <v>14</v>
      </c>
    </row>
    <row r="3" spans="1:5" x14ac:dyDescent="0.35">
      <c r="B3" t="s">
        <v>4</v>
      </c>
    </row>
    <row r="4" spans="1:5" x14ac:dyDescent="0.35">
      <c r="B4" s="46">
        <f>Detailed!$D$23</f>
        <v>0</v>
      </c>
    </row>
    <row r="5" spans="1:5" x14ac:dyDescent="0.35">
      <c r="B5" s="12"/>
    </row>
    <row r="8" spans="1:5" x14ac:dyDescent="0.35">
      <c r="B8" t="s">
        <v>11</v>
      </c>
    </row>
    <row r="9" spans="1:5" x14ac:dyDescent="0.35">
      <c r="B9" s="46">
        <f>Detailed!$D$25</f>
        <v>0</v>
      </c>
    </row>
    <row r="11" spans="1:5" ht="15.5" x14ac:dyDescent="0.35">
      <c r="A11" s="23" t="s">
        <v>39</v>
      </c>
      <c r="B11" s="106">
        <f>Detailed!$D$33</f>
        <v>0</v>
      </c>
    </row>
    <row r="12" spans="1:5" ht="15.5" x14ac:dyDescent="0.35">
      <c r="A12" s="23" t="s">
        <v>17</v>
      </c>
      <c r="B12" s="106">
        <f>Detailed!$D$37</f>
        <v>0</v>
      </c>
    </row>
    <row r="13" spans="1:5" x14ac:dyDescent="0.35">
      <c r="B13" s="14">
        <f t="shared" ref="B13:B18" si="0">$B$4</f>
        <v>0</v>
      </c>
      <c r="D13">
        <f>IF(B13&lt;501000,0.09,0)</f>
        <v>0.09</v>
      </c>
    </row>
    <row r="14" spans="1:5" x14ac:dyDescent="0.35">
      <c r="B14" s="14">
        <f t="shared" si="0"/>
        <v>0</v>
      </c>
      <c r="D14">
        <f>IF(B14&lt;501000,0,0.08)</f>
        <v>0</v>
      </c>
    </row>
    <row r="15" spans="1:5" x14ac:dyDescent="0.35">
      <c r="B15" s="14">
        <f t="shared" si="0"/>
        <v>0</v>
      </c>
      <c r="D15">
        <f>IF(B15&lt;1000001,0,0.01)</f>
        <v>0</v>
      </c>
      <c r="E15" t="s">
        <v>10</v>
      </c>
    </row>
    <row r="16" spans="1:5" x14ac:dyDescent="0.35">
      <c r="B16" s="14">
        <f t="shared" si="0"/>
        <v>0</v>
      </c>
      <c r="D16">
        <f>IF(B16&lt;1500001,0,0.01)</f>
        <v>0</v>
      </c>
      <c r="E16" t="s">
        <v>10</v>
      </c>
    </row>
    <row r="17" spans="1:6" x14ac:dyDescent="0.35">
      <c r="B17" s="14">
        <f t="shared" si="0"/>
        <v>0</v>
      </c>
      <c r="D17">
        <f>IF(B17&lt;2000001,0,0.01)</f>
        <v>0</v>
      </c>
      <c r="E17" t="s">
        <v>10</v>
      </c>
    </row>
    <row r="18" spans="1:6" x14ac:dyDescent="0.35">
      <c r="B18" s="14">
        <f t="shared" si="0"/>
        <v>0</v>
      </c>
      <c r="D18">
        <f>IF(B18&lt;2500000,0,0.01)</f>
        <v>0</v>
      </c>
      <c r="E18" t="s">
        <v>10</v>
      </c>
    </row>
    <row r="20" spans="1:6" x14ac:dyDescent="0.35">
      <c r="B20" s="14"/>
    </row>
    <row r="21" spans="1:6" x14ac:dyDescent="0.35">
      <c r="B21" s="14">
        <f>$B$9</f>
        <v>0</v>
      </c>
      <c r="D21">
        <f>IF(B9&lt;500001,0,0.01)</f>
        <v>0</v>
      </c>
      <c r="E21" t="s">
        <v>12</v>
      </c>
    </row>
    <row r="22" spans="1:6" x14ac:dyDescent="0.35">
      <c r="B22" s="14">
        <f>$B$9</f>
        <v>0</v>
      </c>
      <c r="D22">
        <f>IF(B9&lt;1000001,0,0.01)</f>
        <v>0</v>
      </c>
      <c r="E22" t="s">
        <v>12</v>
      </c>
    </row>
    <row r="23" spans="1:6" x14ac:dyDescent="0.35">
      <c r="B23" s="14">
        <f>$B$9</f>
        <v>0</v>
      </c>
      <c r="D23">
        <f>IF(B9&lt;1500001,0,0.01)</f>
        <v>0</v>
      </c>
      <c r="E23" t="s">
        <v>12</v>
      </c>
    </row>
    <row r="24" spans="1:6" x14ac:dyDescent="0.35">
      <c r="B24" s="14">
        <f>$B$9</f>
        <v>0</v>
      </c>
      <c r="D24">
        <f>IF(B9&lt;2000001,0,0.01)</f>
        <v>0</v>
      </c>
      <c r="E24" t="s">
        <v>12</v>
      </c>
    </row>
    <row r="25" spans="1:6" x14ac:dyDescent="0.35">
      <c r="B25" s="3" t="s">
        <v>13</v>
      </c>
      <c r="D25" s="47">
        <f>D13+(D14-D15-D16-D17-D18)+(D21+D22+D23+D24)</f>
        <v>0.09</v>
      </c>
    </row>
    <row r="26" spans="1:6" x14ac:dyDescent="0.35">
      <c r="C26" s="3"/>
      <c r="D26" s="3"/>
    </row>
    <row r="28" spans="1:6" x14ac:dyDescent="0.35">
      <c r="A28" t="s">
        <v>4</v>
      </c>
      <c r="B28" s="14">
        <f>$B$4</f>
        <v>0</v>
      </c>
      <c r="C28" s="11"/>
      <c r="D28">
        <f>$D$26</f>
        <v>0</v>
      </c>
      <c r="F28">
        <f>B28*D28/100</f>
        <v>0</v>
      </c>
    </row>
    <row r="30" spans="1:6" x14ac:dyDescent="0.35">
      <c r="A30" s="3" t="s">
        <v>15</v>
      </c>
    </row>
    <row r="32" spans="1:6" ht="23.25" customHeight="1" x14ac:dyDescent="0.35">
      <c r="B32" t="s">
        <v>16</v>
      </c>
    </row>
    <row r="33" spans="2:5" x14ac:dyDescent="0.35">
      <c r="B33" s="46">
        <f>Detailed!$D$36</f>
        <v>0</v>
      </c>
    </row>
    <row r="34" spans="2:5" x14ac:dyDescent="0.35">
      <c r="B34" s="12"/>
    </row>
    <row r="37" spans="2:5" x14ac:dyDescent="0.35">
      <c r="B37" t="s">
        <v>17</v>
      </c>
    </row>
    <row r="38" spans="2:5" x14ac:dyDescent="0.35">
      <c r="B38" s="46">
        <f>Detailed!$D$37</f>
        <v>0</v>
      </c>
    </row>
    <row r="42" spans="2:5" x14ac:dyDescent="0.35">
      <c r="B42" s="46">
        <f>$B$33</f>
        <v>0</v>
      </c>
      <c r="D42">
        <f>IF(B33&lt;25001,1.5,0)</f>
        <v>1.5</v>
      </c>
    </row>
    <row r="43" spans="2:5" x14ac:dyDescent="0.35">
      <c r="B43" s="14">
        <f>$B$33</f>
        <v>0</v>
      </c>
      <c r="D43">
        <f>IF(B43&gt;25000,1.4,0)</f>
        <v>0</v>
      </c>
    </row>
    <row r="44" spans="2:5" x14ac:dyDescent="0.35">
      <c r="B44" s="14">
        <f>$B$33</f>
        <v>0</v>
      </c>
      <c r="D44">
        <f>IF(B44&lt;50001,0,0.1)</f>
        <v>0</v>
      </c>
      <c r="E44" t="s">
        <v>10</v>
      </c>
    </row>
    <row r="45" spans="2:5" x14ac:dyDescent="0.35">
      <c r="B45" s="14">
        <f>$B$33</f>
        <v>0</v>
      </c>
      <c r="D45">
        <f>IF(B45&lt;100001,0,0.1)</f>
        <v>0</v>
      </c>
      <c r="E45" t="s">
        <v>10</v>
      </c>
    </row>
    <row r="46" spans="2:5" x14ac:dyDescent="0.35">
      <c r="B46" s="14">
        <f>$B$33</f>
        <v>0</v>
      </c>
      <c r="D46">
        <f>IF(B46&lt;250001,0,0.1)</f>
        <v>0</v>
      </c>
      <c r="E46" t="s">
        <v>10</v>
      </c>
    </row>
    <row r="47" spans="2:5" x14ac:dyDescent="0.35">
      <c r="B47" s="14"/>
    </row>
    <row r="49" spans="1:5" x14ac:dyDescent="0.35">
      <c r="B49" s="14"/>
    </row>
    <row r="50" spans="1:5" x14ac:dyDescent="0.35">
      <c r="B50" s="14">
        <f>$B$38</f>
        <v>0</v>
      </c>
      <c r="D50">
        <f>IF(B38&lt;250000,0,0.15)</f>
        <v>0</v>
      </c>
      <c r="E50" t="s">
        <v>12</v>
      </c>
    </row>
    <row r="51" spans="1:5" x14ac:dyDescent="0.35">
      <c r="B51" s="14">
        <f>$B$38</f>
        <v>0</v>
      </c>
      <c r="D51">
        <f>IF(B38&lt;500000,0,0.1)</f>
        <v>0</v>
      </c>
      <c r="E51" t="s">
        <v>12</v>
      </c>
    </row>
    <row r="52" spans="1:5" x14ac:dyDescent="0.35">
      <c r="B52" s="14">
        <f>$B$38</f>
        <v>0</v>
      </c>
      <c r="D52">
        <f>IF(B38&gt;500000,0.25,0)</f>
        <v>0</v>
      </c>
      <c r="E52" t="s">
        <v>12</v>
      </c>
    </row>
    <row r="53" spans="1:5" x14ac:dyDescent="0.35">
      <c r="B53" s="14"/>
    </row>
    <row r="55" spans="1:5" x14ac:dyDescent="0.35">
      <c r="B55" s="3" t="s">
        <v>13</v>
      </c>
      <c r="C55" s="3"/>
      <c r="D55" s="47">
        <f>(D42+D43-D44-D45)+(D50+D51+D52+D53)</f>
        <v>1.5</v>
      </c>
    </row>
    <row r="57" spans="1:5" x14ac:dyDescent="0.35">
      <c r="B57" s="14"/>
      <c r="C57" s="11"/>
    </row>
    <row r="61" spans="1:5" x14ac:dyDescent="0.35">
      <c r="A61" s="3" t="s">
        <v>18</v>
      </c>
    </row>
    <row r="63" spans="1:5" ht="23.25" customHeight="1" x14ac:dyDescent="0.35">
      <c r="B63" t="s">
        <v>19</v>
      </c>
    </row>
    <row r="64" spans="1:5" x14ac:dyDescent="0.35">
      <c r="B64" s="46">
        <f>Detailed!$D$32</f>
        <v>0</v>
      </c>
    </row>
    <row r="65" spans="1:11" x14ac:dyDescent="0.35">
      <c r="B65" s="12"/>
    </row>
    <row r="70" spans="1:11" x14ac:dyDescent="0.35">
      <c r="B70" s="13">
        <f t="shared" ref="B70:B75" si="1">$B$64</f>
        <v>0</v>
      </c>
      <c r="D70">
        <f>IF(B64&lt;50001,1,IF(B64&gt;50000,0))</f>
        <v>1</v>
      </c>
    </row>
    <row r="71" spans="1:11" x14ac:dyDescent="0.35">
      <c r="B71" s="14">
        <f t="shared" si="1"/>
        <v>0</v>
      </c>
      <c r="D71" s="15" t="str">
        <f>IF(B64&gt;50000,"0.9",IF(B64&lt;50001,"0"))</f>
        <v>0</v>
      </c>
    </row>
    <row r="72" spans="1:11" x14ac:dyDescent="0.35">
      <c r="A72" s="16" t="s">
        <v>21</v>
      </c>
      <c r="B72" s="14">
        <f t="shared" si="1"/>
        <v>0</v>
      </c>
      <c r="D72" s="15" t="str">
        <f>IF(B64&gt;100000,"0.05",IF(B64&lt;100001,"0"))</f>
        <v>0</v>
      </c>
      <c r="E72" t="s">
        <v>10</v>
      </c>
    </row>
    <row r="73" spans="1:11" x14ac:dyDescent="0.35">
      <c r="B73" s="14">
        <f t="shared" si="1"/>
        <v>0</v>
      </c>
      <c r="D73" s="15" t="str">
        <f>IF(B64&gt;250000,"0.05",IF(B64&lt;250001,"0"))</f>
        <v>0</v>
      </c>
      <c r="E73" t="s">
        <v>10</v>
      </c>
    </row>
    <row r="74" spans="1:11" x14ac:dyDescent="0.35">
      <c r="B74" s="14">
        <f t="shared" si="1"/>
        <v>0</v>
      </c>
      <c r="D74" s="15" t="str">
        <f>IF(B64&gt;500000,"0.05",IF(B65&lt;750001,"0"))</f>
        <v>0</v>
      </c>
      <c r="E74" t="s">
        <v>10</v>
      </c>
    </row>
    <row r="75" spans="1:11" x14ac:dyDescent="0.35">
      <c r="B75" s="14">
        <f t="shared" si="1"/>
        <v>0</v>
      </c>
      <c r="D75" s="15" t="str">
        <f>IF(B64&gt;750000,"0.05",IF(B64&lt;100000,"0"))</f>
        <v>0</v>
      </c>
      <c r="E75" t="s">
        <v>10</v>
      </c>
    </row>
    <row r="76" spans="1:11" x14ac:dyDescent="0.35">
      <c r="B76" t="s">
        <v>20</v>
      </c>
      <c r="D76" s="47">
        <f>D70+D71-D72-D73-D74-D75</f>
        <v>1</v>
      </c>
    </row>
    <row r="77" spans="1:11" ht="15" thickBot="1" x14ac:dyDescent="0.4"/>
    <row r="78" spans="1:11" ht="15" thickTop="1" x14ac:dyDescent="0.35">
      <c r="A78" s="62" t="s">
        <v>67</v>
      </c>
      <c r="B78" s="51"/>
      <c r="C78" s="51"/>
      <c r="D78" s="51"/>
      <c r="E78" s="51"/>
      <c r="F78" s="51"/>
      <c r="G78" s="52"/>
      <c r="K78" s="3" t="s">
        <v>98</v>
      </c>
    </row>
    <row r="79" spans="1:11" x14ac:dyDescent="0.35">
      <c r="B79" s="54"/>
      <c r="C79" s="54"/>
      <c r="D79" s="54"/>
      <c r="E79" s="54"/>
      <c r="F79" s="54"/>
      <c r="G79" s="55"/>
      <c r="K79">
        <f>IF(B81&gt;5000000,10000000000,0)</f>
        <v>0</v>
      </c>
    </row>
    <row r="80" spans="1:11" x14ac:dyDescent="0.35">
      <c r="A80" s="53" t="s">
        <v>2</v>
      </c>
      <c r="B80" s="54"/>
      <c r="C80" s="56" t="s">
        <v>68</v>
      </c>
      <c r="D80" s="56" t="s">
        <v>69</v>
      </c>
      <c r="E80" s="54"/>
      <c r="F80" s="54"/>
      <c r="G80" s="55"/>
    </row>
    <row r="81" spans="1:9" x14ac:dyDescent="0.35">
      <c r="A81" s="57" t="s">
        <v>4</v>
      </c>
      <c r="B81" s="58">
        <f>Detailed!$D$23</f>
        <v>0</v>
      </c>
      <c r="C81" s="54">
        <f>$D$25</f>
        <v>0.09</v>
      </c>
      <c r="D81" s="88">
        <f>B81*C81/100</f>
        <v>0</v>
      </c>
      <c r="E81" s="54"/>
      <c r="F81" s="54"/>
      <c r="G81" s="55"/>
    </row>
    <row r="82" spans="1:9" x14ac:dyDescent="0.35">
      <c r="A82" s="57" t="s">
        <v>70</v>
      </c>
      <c r="B82" s="58">
        <f>$B$64</f>
        <v>0</v>
      </c>
      <c r="C82" s="54">
        <f>$D$76</f>
        <v>1</v>
      </c>
      <c r="D82" s="88">
        <f>B82*C82/100</f>
        <v>0</v>
      </c>
      <c r="E82" s="54"/>
      <c r="F82" s="54"/>
      <c r="G82" s="55"/>
    </row>
    <row r="83" spans="1:9" ht="15" thickBot="1" x14ac:dyDescent="0.4">
      <c r="A83" s="57" t="s">
        <v>8</v>
      </c>
      <c r="B83" s="58">
        <f>$B$33</f>
        <v>0</v>
      </c>
      <c r="C83" s="54">
        <f>$D$55</f>
        <v>1.5</v>
      </c>
      <c r="D83" s="88">
        <f>B83*C83/100</f>
        <v>0</v>
      </c>
      <c r="E83" s="54"/>
      <c r="F83" s="54"/>
      <c r="G83" s="55"/>
      <c r="I83" t="s">
        <v>84</v>
      </c>
    </row>
    <row r="84" spans="1:9" ht="15" thickBot="1" x14ac:dyDescent="0.4">
      <c r="A84" s="57" t="s">
        <v>82</v>
      </c>
      <c r="B84" s="58">
        <f>Detailed!$D$39</f>
        <v>0</v>
      </c>
      <c r="C84" s="54">
        <v>0.5</v>
      </c>
      <c r="D84" s="86">
        <f>IF(I84&lt;100,100,I84)</f>
        <v>100</v>
      </c>
      <c r="E84" s="54" t="s">
        <v>83</v>
      </c>
      <c r="G84" s="55"/>
      <c r="I84" s="80">
        <f>B84*C84/100</f>
        <v>0</v>
      </c>
    </row>
    <row r="85" spans="1:9" x14ac:dyDescent="0.35">
      <c r="A85" s="57"/>
      <c r="B85" s="58"/>
      <c r="C85" s="54"/>
      <c r="D85" s="86">
        <f>IF(B84=0,-100,0)</f>
        <v>-100</v>
      </c>
      <c r="E85" s="87" t="s">
        <v>91</v>
      </c>
      <c r="G85" s="55"/>
      <c r="I85" s="59"/>
    </row>
    <row r="86" spans="1:9" ht="15" thickBot="1" x14ac:dyDescent="0.4">
      <c r="A86" s="57" t="s">
        <v>86</v>
      </c>
      <c r="B86" s="58">
        <f>Detailed!$D$30</f>
        <v>0</v>
      </c>
      <c r="C86" s="54">
        <f>$C$82</f>
        <v>1</v>
      </c>
      <c r="D86" s="59">
        <f>B86*C86/100</f>
        <v>0</v>
      </c>
      <c r="E86" s="54"/>
      <c r="F86" s="54"/>
      <c r="G86" s="55"/>
    </row>
    <row r="87" spans="1:9" x14ac:dyDescent="0.35">
      <c r="A87" s="57"/>
      <c r="B87" s="54" t="s">
        <v>71</v>
      </c>
      <c r="C87" s="54"/>
      <c r="D87" s="49">
        <f>SUM(D81:D86)</f>
        <v>0</v>
      </c>
      <c r="E87" s="54"/>
      <c r="F87" s="54"/>
      <c r="G87" s="55"/>
    </row>
    <row r="88" spans="1:9" x14ac:dyDescent="0.35">
      <c r="A88" s="57"/>
      <c r="B88" s="54"/>
      <c r="C88" s="54"/>
      <c r="D88" s="59"/>
      <c r="E88" s="54"/>
      <c r="F88" s="54"/>
      <c r="G88" s="55"/>
    </row>
    <row r="89" spans="1:9" x14ac:dyDescent="0.35">
      <c r="A89" s="57"/>
      <c r="B89" s="54"/>
      <c r="C89" s="54"/>
      <c r="D89">
        <f>IF(B81&gt;5000000,10000000000000000,0)</f>
        <v>0</v>
      </c>
      <c r="E89" s="54" t="s">
        <v>92</v>
      </c>
      <c r="F89" s="54"/>
      <c r="G89" s="105">
        <v>350</v>
      </c>
    </row>
    <row r="90" spans="1:9" x14ac:dyDescent="0.35">
      <c r="A90" s="57"/>
      <c r="B90" s="54"/>
      <c r="C90" s="54"/>
      <c r="D90">
        <f>IF(B9&gt;25000000,10000000000000000,0)</f>
        <v>0</v>
      </c>
      <c r="E90" s="54"/>
      <c r="F90" s="54"/>
      <c r="G90" s="89"/>
    </row>
    <row r="91" spans="1:9" x14ac:dyDescent="0.35">
      <c r="A91" s="57"/>
      <c r="B91" s="54"/>
      <c r="C91" s="54"/>
      <c r="D91">
        <f>IF(B82&gt;1000000,10000000000000000,0)</f>
        <v>0</v>
      </c>
      <c r="E91" s="54"/>
      <c r="F91" s="54"/>
      <c r="G91" s="89"/>
    </row>
    <row r="92" spans="1:9" x14ac:dyDescent="0.35">
      <c r="A92" s="57"/>
      <c r="B92" s="54"/>
      <c r="C92" s="54"/>
      <c r="D92" s="86">
        <f>IF(B11&gt;500000,10000000000000000,0)</f>
        <v>0</v>
      </c>
      <c r="E92" s="54"/>
      <c r="F92" s="54"/>
      <c r="G92" s="89"/>
    </row>
    <row r="93" spans="1:9" x14ac:dyDescent="0.35">
      <c r="A93" s="57"/>
      <c r="B93" s="54"/>
      <c r="C93" s="54"/>
      <c r="D93" s="86"/>
      <c r="E93" s="54"/>
      <c r="F93" s="54"/>
      <c r="G93" s="89"/>
    </row>
    <row r="94" spans="1:9" x14ac:dyDescent="0.35">
      <c r="A94" s="57"/>
      <c r="B94" s="54"/>
      <c r="C94" s="54"/>
      <c r="D94" s="86">
        <f>IF(B12&gt;250000,10000000000000000,0)</f>
        <v>0</v>
      </c>
      <c r="E94" s="54"/>
      <c r="F94" s="54"/>
      <c r="G94" s="89"/>
    </row>
    <row r="95" spans="1:9" x14ac:dyDescent="0.35">
      <c r="A95" s="57"/>
      <c r="B95" s="54"/>
      <c r="C95" s="54"/>
      <c r="D95" s="86">
        <f>IF(D87&lt;350,G89,D87)</f>
        <v>350</v>
      </c>
      <c r="E95" s="54"/>
      <c r="F95" s="54"/>
      <c r="G95" s="55"/>
    </row>
    <row r="96" spans="1:9" x14ac:dyDescent="0.35">
      <c r="A96" s="57"/>
      <c r="B96" s="54"/>
      <c r="C96" s="54"/>
      <c r="D96" s="86">
        <f>SUM(D92:D95)</f>
        <v>350</v>
      </c>
      <c r="E96" s="54"/>
      <c r="F96" s="54"/>
      <c r="G96" s="55"/>
    </row>
    <row r="97" spans="1:7" x14ac:dyDescent="0.35">
      <c r="A97" s="57"/>
      <c r="B97" s="54"/>
      <c r="C97" s="54"/>
      <c r="D97" s="88">
        <v>0</v>
      </c>
      <c r="E97" s="54"/>
      <c r="F97" s="54"/>
      <c r="G97" s="55"/>
    </row>
    <row r="98" spans="1:7" x14ac:dyDescent="0.35">
      <c r="A98" s="57"/>
      <c r="B98" s="56"/>
      <c r="C98" s="56"/>
      <c r="D98" s="50">
        <f>SUM(D96:D97)</f>
        <v>350</v>
      </c>
      <c r="E98" s="54"/>
      <c r="F98" s="54"/>
      <c r="G98" s="55"/>
    </row>
    <row r="99" spans="1:7" x14ac:dyDescent="0.35">
      <c r="A99" s="57"/>
      <c r="B99" s="56"/>
      <c r="C99" s="56"/>
      <c r="D99" s="90"/>
      <c r="E99" s="54"/>
      <c r="F99" s="54"/>
      <c r="G99" s="55"/>
    </row>
    <row r="100" spans="1:7" x14ac:dyDescent="0.35">
      <c r="A100" s="57"/>
      <c r="B100" s="78"/>
      <c r="C100" s="54"/>
      <c r="D100" s="59"/>
      <c r="E100" s="54"/>
      <c r="F100" s="54"/>
      <c r="G100" s="55"/>
    </row>
    <row r="101" spans="1:7" x14ac:dyDescent="0.35">
      <c r="A101" s="57"/>
      <c r="B101" s="54"/>
      <c r="C101" s="54"/>
      <c r="D101" s="79">
        <f>SUM(D98:D100)</f>
        <v>350</v>
      </c>
      <c r="E101" s="54"/>
      <c r="F101" s="54"/>
      <c r="G101" s="55"/>
    </row>
    <row r="102" spans="1:7" x14ac:dyDescent="0.35">
      <c r="A102" s="57" t="s">
        <v>80</v>
      </c>
      <c r="B102" s="81">
        <v>0.2</v>
      </c>
      <c r="C102" s="54"/>
      <c r="D102" s="54">
        <f>-D101*B102</f>
        <v>-70</v>
      </c>
      <c r="E102" s="54"/>
      <c r="F102" s="54"/>
      <c r="G102" s="55"/>
    </row>
    <row r="103" spans="1:7" x14ac:dyDescent="0.35">
      <c r="A103" s="57"/>
      <c r="B103" s="81"/>
      <c r="C103" s="54"/>
      <c r="D103" s="107">
        <f>IF(D87&lt;351,-D102,0)</f>
        <v>70</v>
      </c>
      <c r="E103" s="54" t="s">
        <v>100</v>
      </c>
      <c r="F103" s="54"/>
      <c r="G103" s="55"/>
    </row>
    <row r="104" spans="1:7" x14ac:dyDescent="0.35">
      <c r="A104" s="57"/>
      <c r="B104" s="78" t="s">
        <v>85</v>
      </c>
      <c r="C104" s="54"/>
      <c r="D104" s="91">
        <f>SUM(D101:D103)</f>
        <v>350</v>
      </c>
      <c r="E104" s="54"/>
      <c r="F104" s="54"/>
      <c r="G104" s="55"/>
    </row>
    <row r="105" spans="1:7" x14ac:dyDescent="0.35">
      <c r="A105" s="57" t="s">
        <v>94</v>
      </c>
      <c r="B105" s="102">
        <f>$H$127</f>
        <v>0</v>
      </c>
      <c r="C105" s="54"/>
      <c r="D105" s="48">
        <f>D104*B105/100</f>
        <v>0</v>
      </c>
      <c r="E105" s="54"/>
      <c r="F105" s="54"/>
      <c r="G105" s="55"/>
    </row>
    <row r="106" spans="1:7" x14ac:dyDescent="0.35">
      <c r="A106" s="57"/>
      <c r="B106" s="78"/>
      <c r="C106" s="54"/>
      <c r="D106" s="58">
        <f>D104-D105</f>
        <v>350</v>
      </c>
      <c r="E106" s="54"/>
      <c r="F106" s="54"/>
      <c r="G106" s="55"/>
    </row>
    <row r="107" spans="1:7" x14ac:dyDescent="0.35">
      <c r="A107" s="57"/>
      <c r="B107" s="54" t="s">
        <v>72</v>
      </c>
      <c r="C107" s="54"/>
      <c r="D107" s="88">
        <f>D106*5/100</f>
        <v>17.5</v>
      </c>
      <c r="E107" s="54"/>
      <c r="F107" s="54"/>
      <c r="G107" s="55"/>
    </row>
    <row r="108" spans="1:7" x14ac:dyDescent="0.35">
      <c r="A108" s="57"/>
      <c r="B108" s="56" t="s">
        <v>73</v>
      </c>
      <c r="C108" s="56"/>
      <c r="D108" s="50">
        <f>SUM(D106:D107)</f>
        <v>367.5</v>
      </c>
      <c r="E108" s="54"/>
      <c r="F108" s="54"/>
      <c r="G108" s="55"/>
    </row>
    <row r="109" spans="1:7" x14ac:dyDescent="0.35">
      <c r="A109" s="57"/>
      <c r="B109" s="78"/>
      <c r="C109" s="54"/>
      <c r="D109" s="58"/>
      <c r="E109" s="54"/>
      <c r="F109" s="54"/>
      <c r="G109" s="55"/>
    </row>
    <row r="110" spans="1:7" x14ac:dyDescent="0.35">
      <c r="A110" s="53" t="s">
        <v>93</v>
      </c>
      <c r="B110" s="78"/>
      <c r="C110" s="54"/>
      <c r="D110" s="58">
        <v>100</v>
      </c>
      <c r="E110" s="54"/>
      <c r="F110" s="54"/>
      <c r="G110" s="55"/>
    </row>
    <row r="111" spans="1:7" x14ac:dyDescent="0.35">
      <c r="A111" s="57"/>
      <c r="B111" s="78"/>
      <c r="C111" s="54"/>
      <c r="D111" s="58"/>
      <c r="E111" s="54"/>
      <c r="F111" s="54"/>
      <c r="G111" s="55"/>
    </row>
    <row r="112" spans="1:7" x14ac:dyDescent="0.35">
      <c r="A112" s="57"/>
      <c r="B112" s="78"/>
      <c r="C112" s="54"/>
      <c r="D112" s="58"/>
      <c r="E112" s="54"/>
      <c r="F112" s="54"/>
      <c r="G112" s="55"/>
    </row>
    <row r="113" spans="1:8" x14ac:dyDescent="0.35">
      <c r="A113" s="57"/>
      <c r="B113" s="78"/>
      <c r="C113" s="54"/>
      <c r="D113" s="58"/>
      <c r="E113" s="54"/>
      <c r="F113" s="54"/>
      <c r="G113" s="55"/>
    </row>
    <row r="114" spans="1:8" x14ac:dyDescent="0.35">
      <c r="A114" s="57"/>
      <c r="B114" s="78" t="s">
        <v>87</v>
      </c>
      <c r="C114" s="54"/>
      <c r="D114" s="59">
        <v>100</v>
      </c>
      <c r="E114" s="54"/>
      <c r="F114" s="54"/>
      <c r="G114" s="55"/>
    </row>
    <row r="115" spans="1:8" x14ac:dyDescent="0.35">
      <c r="A115" s="57"/>
      <c r="B115" s="78"/>
      <c r="C115" s="54"/>
      <c r="D115" s="59">
        <f>IF(B81&lt;1,-567.5,B116)</f>
        <v>-567.5</v>
      </c>
      <c r="F115" s="54"/>
      <c r="G115" s="55"/>
    </row>
    <row r="116" spans="1:8" x14ac:dyDescent="0.35">
      <c r="A116" s="57"/>
      <c r="B116" s="56" t="s">
        <v>88</v>
      </c>
      <c r="C116" s="54"/>
      <c r="D116" s="103">
        <f>SUM(D108:D115)</f>
        <v>0</v>
      </c>
      <c r="E116" s="54"/>
      <c r="F116" s="54"/>
      <c r="G116" s="55"/>
    </row>
    <row r="117" spans="1:8" ht="15" thickBot="1" x14ac:dyDescent="0.4">
      <c r="A117" s="104"/>
      <c r="B117" s="104"/>
      <c r="C117" s="104"/>
      <c r="D117" s="104"/>
      <c r="E117" s="60"/>
      <c r="F117" s="60"/>
      <c r="G117" s="61"/>
    </row>
    <row r="118" spans="1:8" ht="15" thickTop="1" x14ac:dyDescent="0.35"/>
    <row r="120" spans="1:8" x14ac:dyDescent="0.35">
      <c r="A120" s="83"/>
    </row>
    <row r="123" spans="1:8" x14ac:dyDescent="0.35">
      <c r="A123" s="92"/>
      <c r="B123" s="93"/>
      <c r="C123" s="93"/>
      <c r="D123" s="93"/>
      <c r="E123" s="93"/>
      <c r="F123" s="93"/>
      <c r="G123" s="93"/>
      <c r="H123" s="94"/>
    </row>
    <row r="124" spans="1:8" x14ac:dyDescent="0.35">
      <c r="A124" s="100" t="s">
        <v>95</v>
      </c>
      <c r="B124" s="54"/>
      <c r="C124" s="54"/>
      <c r="D124" s="54"/>
      <c r="E124" s="54"/>
      <c r="F124" s="54"/>
      <c r="G124" s="54"/>
      <c r="H124" s="96"/>
    </row>
    <row r="125" spans="1:8" x14ac:dyDescent="0.35">
      <c r="A125" s="95"/>
      <c r="B125" s="54"/>
      <c r="C125" s="54"/>
      <c r="D125" s="54"/>
      <c r="E125" s="54"/>
      <c r="F125" s="54"/>
      <c r="G125" s="54"/>
      <c r="H125" s="96"/>
    </row>
    <row r="126" spans="1:8" x14ac:dyDescent="0.35">
      <c r="A126" s="95"/>
      <c r="B126" s="54"/>
      <c r="C126" s="54"/>
      <c r="D126" s="54"/>
      <c r="E126" s="54"/>
      <c r="F126" s="54"/>
      <c r="G126" s="54"/>
      <c r="H126" s="101">
        <f>Detailed!$E$52</f>
        <v>1000</v>
      </c>
    </row>
    <row r="127" spans="1:8" x14ac:dyDescent="0.35">
      <c r="A127" s="95">
        <v>1000</v>
      </c>
      <c r="B127" s="54">
        <v>0</v>
      </c>
      <c r="C127" s="54"/>
      <c r="D127" s="54"/>
      <c r="E127" s="54"/>
      <c r="F127" s="54" t="s">
        <v>96</v>
      </c>
      <c r="G127" s="54"/>
      <c r="H127" s="96">
        <f>VLOOKUP(H126,A127:B129,2,FALSE)</f>
        <v>0</v>
      </c>
    </row>
    <row r="128" spans="1:8" x14ac:dyDescent="0.35">
      <c r="A128" s="95">
        <v>2000</v>
      </c>
      <c r="B128" s="54">
        <v>5</v>
      </c>
      <c r="C128" s="54"/>
      <c r="D128" s="54"/>
      <c r="E128" s="54"/>
      <c r="F128" s="54"/>
      <c r="G128" s="54"/>
      <c r="H128" s="96"/>
    </row>
    <row r="129" spans="1:8" x14ac:dyDescent="0.35">
      <c r="A129" s="97">
        <v>5000</v>
      </c>
      <c r="B129" s="98">
        <v>10</v>
      </c>
      <c r="C129" s="98"/>
      <c r="D129" s="98"/>
      <c r="E129" s="98"/>
      <c r="F129" s="98"/>
      <c r="G129" s="98"/>
      <c r="H129" s="99"/>
    </row>
    <row r="130" spans="1:8" x14ac:dyDescent="0.35">
      <c r="A130" t="s">
        <v>97</v>
      </c>
    </row>
    <row r="131" spans="1:8" x14ac:dyDescent="0.35">
      <c r="A131" s="95"/>
      <c r="B131" s="54"/>
      <c r="C131" s="54"/>
      <c r="D131" s="54"/>
      <c r="E131" s="54"/>
      <c r="F131" s="54"/>
      <c r="G131" s="54"/>
      <c r="H131" s="101">
        <f>Detailed!$E$52</f>
        <v>1000</v>
      </c>
    </row>
    <row r="132" spans="1:8" x14ac:dyDescent="0.35">
      <c r="A132" s="95">
        <v>1000</v>
      </c>
      <c r="B132" s="54">
        <v>0</v>
      </c>
      <c r="C132" s="54"/>
      <c r="D132" s="54"/>
      <c r="E132" s="54"/>
      <c r="F132" s="54" t="s">
        <v>96</v>
      </c>
      <c r="G132" s="54"/>
      <c r="H132" s="96">
        <f>VLOOKUP(H131,A132:B134,2,FALSE)</f>
        <v>0</v>
      </c>
    </row>
    <row r="133" spans="1:8" x14ac:dyDescent="0.35">
      <c r="A133" s="95">
        <v>2000</v>
      </c>
      <c r="B133" s="54">
        <v>5</v>
      </c>
      <c r="C133" s="54"/>
      <c r="D133" s="54"/>
      <c r="E133" s="54"/>
      <c r="F133" s="54"/>
      <c r="G133" s="54"/>
      <c r="H133" s="96"/>
    </row>
    <row r="134" spans="1:8" x14ac:dyDescent="0.35">
      <c r="A134" s="97">
        <v>5000</v>
      </c>
      <c r="B134" s="98">
        <v>10</v>
      </c>
      <c r="C134" s="98"/>
      <c r="D134" s="98"/>
      <c r="E134" s="98"/>
      <c r="F134" s="98"/>
      <c r="G134" s="98"/>
      <c r="H134" s="9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5:B19"/>
  <sheetViews>
    <sheetView workbookViewId="0">
      <selection activeCell="B17" sqref="B17"/>
    </sheetView>
  </sheetViews>
  <sheetFormatPr defaultRowHeight="14.5" x14ac:dyDescent="0.35"/>
  <cols>
    <col min="2" max="2" width="13.1796875" customWidth="1"/>
  </cols>
  <sheetData>
    <row r="5" spans="2:2" x14ac:dyDescent="0.35">
      <c r="B5" s="14"/>
    </row>
    <row r="6" spans="2:2" x14ac:dyDescent="0.35">
      <c r="B6" s="14"/>
    </row>
    <row r="7" spans="2:2" x14ac:dyDescent="0.35">
      <c r="B7" s="14"/>
    </row>
    <row r="11" spans="2:2" x14ac:dyDescent="0.35">
      <c r="B11" s="108">
        <v>50000</v>
      </c>
    </row>
    <row r="12" spans="2:2" x14ac:dyDescent="0.35">
      <c r="B12" s="108">
        <v>250000</v>
      </c>
    </row>
    <row r="13" spans="2:2" x14ac:dyDescent="0.35">
      <c r="B13" s="108">
        <v>500000</v>
      </c>
    </row>
    <row r="14" spans="2:2" x14ac:dyDescent="0.35">
      <c r="B14" s="108">
        <v>1000000</v>
      </c>
    </row>
    <row r="17" spans="2:2" x14ac:dyDescent="0.35">
      <c r="B17" s="108">
        <v>1000</v>
      </c>
    </row>
    <row r="18" spans="2:2" x14ac:dyDescent="0.35">
      <c r="B18" s="108">
        <v>2000</v>
      </c>
    </row>
    <row r="19" spans="2:2" x14ac:dyDescent="0.35">
      <c r="B19" s="108">
        <v>5000</v>
      </c>
    </row>
  </sheetData>
  <dataConsolidate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K34"/>
  <sheetViews>
    <sheetView workbookViewId="0">
      <selection activeCell="K12" sqref="K12"/>
    </sheetView>
  </sheetViews>
  <sheetFormatPr defaultRowHeight="14.5" x14ac:dyDescent="0.35"/>
  <cols>
    <col min="1" max="2" width="18.6328125" customWidth="1"/>
    <col min="3" max="3" width="10.7265625" customWidth="1"/>
    <col min="4" max="4" width="12.36328125" bestFit="1" customWidth="1"/>
    <col min="6" max="6" width="12.1796875" customWidth="1"/>
    <col min="7" max="7" width="11.36328125" customWidth="1"/>
  </cols>
  <sheetData>
    <row r="3" spans="1:11" x14ac:dyDescent="0.35">
      <c r="A3" s="3" t="s">
        <v>1</v>
      </c>
      <c r="B3" s="3"/>
      <c r="C3" s="3"/>
      <c r="D3" s="3"/>
      <c r="E3" s="3"/>
      <c r="F3" s="3"/>
    </row>
    <row r="4" spans="1:11" x14ac:dyDescent="0.35">
      <c r="B4" t="s">
        <v>6</v>
      </c>
    </row>
    <row r="5" spans="1:11" x14ac:dyDescent="0.35">
      <c r="A5" s="3"/>
      <c r="B5" s="3" t="s">
        <v>9</v>
      </c>
      <c r="C5" s="3"/>
      <c r="D5" t="s">
        <v>4</v>
      </c>
    </row>
    <row r="6" spans="1:11" x14ac:dyDescent="0.35">
      <c r="A6" t="s">
        <v>2</v>
      </c>
      <c r="B6" s="9">
        <v>500000</v>
      </c>
      <c r="D6" s="9">
        <v>400000</v>
      </c>
      <c r="E6" s="10">
        <f>IF(B6&lt;"€501,000",0.09,0.08)</f>
        <v>0.09</v>
      </c>
      <c r="F6" s="4">
        <f>D6*E6</f>
        <v>36000</v>
      </c>
      <c r="G6" s="4"/>
      <c r="H6" s="4"/>
    </row>
    <row r="7" spans="1:11" x14ac:dyDescent="0.35">
      <c r="D7" s="4"/>
      <c r="E7" s="1"/>
      <c r="F7" s="4"/>
      <c r="G7" s="4"/>
      <c r="H7" s="4"/>
    </row>
    <row r="8" spans="1:11" x14ac:dyDescent="0.35">
      <c r="D8" s="4" t="s">
        <v>7</v>
      </c>
      <c r="E8" s="1"/>
      <c r="F8" s="4"/>
      <c r="G8" s="4"/>
      <c r="H8" s="4"/>
    </row>
    <row r="9" spans="1:11" x14ac:dyDescent="0.35">
      <c r="A9" t="s">
        <v>3</v>
      </c>
      <c r="D9" s="9">
        <v>100000</v>
      </c>
      <c r="E9" s="1">
        <v>1E-3</v>
      </c>
      <c r="F9" s="4">
        <f>D9*E9</f>
        <v>100</v>
      </c>
      <c r="G9" s="4"/>
      <c r="H9" s="4"/>
    </row>
    <row r="10" spans="1:11" x14ac:dyDescent="0.35">
      <c r="D10" s="4" t="s">
        <v>8</v>
      </c>
      <c r="E10" s="1"/>
      <c r="F10" s="4"/>
      <c r="G10" s="4"/>
      <c r="H10" s="4"/>
      <c r="K10">
        <v>2</v>
      </c>
    </row>
    <row r="11" spans="1:11" x14ac:dyDescent="0.35">
      <c r="A11" t="s">
        <v>5</v>
      </c>
      <c r="B11" s="9">
        <v>50000</v>
      </c>
      <c r="D11" s="9">
        <v>25000</v>
      </c>
      <c r="E11" s="1">
        <v>1.4999999999999999E-2</v>
      </c>
      <c r="F11" s="4">
        <f>D11*E11</f>
        <v>375</v>
      </c>
      <c r="G11" s="4"/>
      <c r="H11" s="4"/>
      <c r="K11" t="s">
        <v>99</v>
      </c>
    </row>
    <row r="12" spans="1:11" x14ac:dyDescent="0.35">
      <c r="D12" s="4">
        <v>0</v>
      </c>
      <c r="E12" s="1">
        <v>0</v>
      </c>
      <c r="F12" s="4">
        <f>D12*E12</f>
        <v>0</v>
      </c>
      <c r="G12" s="4"/>
      <c r="H12" s="4"/>
      <c r="K12">
        <f>SUM(K10:K11)</f>
        <v>2</v>
      </c>
    </row>
    <row r="13" spans="1:11" x14ac:dyDescent="0.35">
      <c r="D13" s="4"/>
      <c r="F13" s="4"/>
      <c r="G13" s="4"/>
      <c r="H13" s="4"/>
    </row>
    <row r="14" spans="1:11" x14ac:dyDescent="0.35">
      <c r="D14" s="4"/>
      <c r="E14" s="1"/>
      <c r="F14" s="4"/>
      <c r="G14" s="4"/>
      <c r="H14" s="4"/>
    </row>
    <row r="15" spans="1:11" ht="15" thickBot="1" x14ac:dyDescent="0.4">
      <c r="D15" s="4"/>
      <c r="E15" s="1"/>
      <c r="F15" s="4"/>
      <c r="G15" s="4"/>
      <c r="H15" s="4"/>
    </row>
    <row r="16" spans="1:11" ht="15" thickTop="1" x14ac:dyDescent="0.35">
      <c r="A16">
        <v>2600000</v>
      </c>
      <c r="D16" s="4"/>
      <c r="F16" s="5">
        <f>SUM(F6:F15)</f>
        <v>36475</v>
      </c>
      <c r="G16" s="4"/>
      <c r="H16" s="4"/>
    </row>
    <row r="17" spans="1:8" ht="15" thickBot="1" x14ac:dyDescent="0.4">
      <c r="D17" s="4" t="s">
        <v>0</v>
      </c>
      <c r="F17" s="4">
        <f>F16/100*5</f>
        <v>1823.75</v>
      </c>
      <c r="G17" s="4"/>
      <c r="H17" s="4"/>
    </row>
    <row r="18" spans="1:8" ht="15" thickTop="1" x14ac:dyDescent="0.35">
      <c r="D18" s="4"/>
      <c r="F18" s="6">
        <f>SUM(F16:F17)</f>
        <v>38298.75</v>
      </c>
      <c r="G18" s="4"/>
      <c r="H18" s="4"/>
    </row>
    <row r="19" spans="1:8" x14ac:dyDescent="0.35">
      <c r="D19" s="4"/>
      <c r="F19" s="4"/>
      <c r="G19" s="4"/>
      <c r="H19" s="4"/>
    </row>
    <row r="20" spans="1:8" x14ac:dyDescent="0.35">
      <c r="D20" s="4"/>
      <c r="F20" s="4"/>
      <c r="G20" s="4"/>
      <c r="H20" s="4"/>
    </row>
    <row r="21" spans="1:8" x14ac:dyDescent="0.35">
      <c r="A21" s="3"/>
      <c r="B21" s="3"/>
      <c r="C21" s="3"/>
      <c r="D21" s="4"/>
      <c r="F21" s="4"/>
      <c r="G21" s="4"/>
      <c r="H21" s="4"/>
    </row>
    <row r="22" spans="1:8" x14ac:dyDescent="0.35">
      <c r="D22" s="4"/>
      <c r="E22" s="1"/>
      <c r="F22" s="4"/>
      <c r="G22" s="7"/>
      <c r="H22" s="4"/>
    </row>
    <row r="23" spans="1:8" x14ac:dyDescent="0.35">
      <c r="D23" s="4"/>
      <c r="E23" s="1"/>
      <c r="F23" s="4"/>
      <c r="G23" s="7"/>
      <c r="H23" s="4"/>
    </row>
    <row r="24" spans="1:8" x14ac:dyDescent="0.35">
      <c r="D24" s="4"/>
      <c r="E24" s="1"/>
      <c r="F24" s="4"/>
      <c r="G24" s="7"/>
      <c r="H24" s="4"/>
    </row>
    <row r="25" spans="1:8" x14ac:dyDescent="0.35">
      <c r="D25" s="4"/>
      <c r="E25" s="1"/>
      <c r="F25" s="4"/>
      <c r="G25" s="7"/>
      <c r="H25" s="4"/>
    </row>
    <row r="26" spans="1:8" x14ac:dyDescent="0.35">
      <c r="D26" s="4"/>
      <c r="E26" s="1"/>
      <c r="F26" s="4"/>
      <c r="G26" s="7"/>
      <c r="H26" s="4"/>
    </row>
    <row r="27" spans="1:8" x14ac:dyDescent="0.35">
      <c r="D27" s="4"/>
      <c r="E27" s="1"/>
      <c r="F27" s="4"/>
      <c r="G27" s="7"/>
      <c r="H27" s="4"/>
    </row>
    <row r="28" spans="1:8" x14ac:dyDescent="0.35">
      <c r="D28" s="4"/>
      <c r="E28" s="1"/>
      <c r="F28" s="4"/>
      <c r="G28" s="7"/>
      <c r="H28" s="4"/>
    </row>
    <row r="29" spans="1:8" ht="15" thickBot="1" x14ac:dyDescent="0.4">
      <c r="D29" s="4"/>
      <c r="E29" s="1"/>
      <c r="F29" s="4"/>
      <c r="G29" s="7"/>
      <c r="H29" s="4"/>
    </row>
    <row r="30" spans="1:8" ht="15" thickTop="1" x14ac:dyDescent="0.35">
      <c r="F30" s="5"/>
      <c r="G30" s="4"/>
      <c r="H30" s="4"/>
    </row>
    <row r="31" spans="1:8" ht="15" thickBot="1" x14ac:dyDescent="0.4">
      <c r="F31" s="4"/>
      <c r="G31" s="4"/>
      <c r="H31" s="4"/>
    </row>
    <row r="32" spans="1:8" ht="15" thickTop="1" x14ac:dyDescent="0.35">
      <c r="F32" s="6"/>
      <c r="G32" s="4"/>
      <c r="H32" s="4"/>
    </row>
    <row r="34" spans="1:6" x14ac:dyDescent="0.35">
      <c r="A34" s="2"/>
      <c r="B34" s="2"/>
      <c r="C34" s="2"/>
      <c r="D34" s="2"/>
      <c r="E34" s="2"/>
      <c r="F34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Detailed</vt:lpstr>
      <vt:lpstr>Sheet1</vt:lpstr>
      <vt:lpstr>Detailed!_MailOriginal</vt:lpstr>
      <vt:lpstr>Detailed!Print_Area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 Dunne</cp:lastModifiedBy>
  <cp:lastPrinted>2023-11-06T14:33:44Z</cp:lastPrinted>
  <dcterms:created xsi:type="dcterms:W3CDTF">2015-04-21T08:05:14Z</dcterms:created>
  <dcterms:modified xsi:type="dcterms:W3CDTF">2024-01-25T07:50:16Z</dcterms:modified>
</cp:coreProperties>
</file>